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showInkAnnotation="0" codeName="ThisWorkbook"/>
  <mc:AlternateContent xmlns:mc="http://schemas.openxmlformats.org/markup-compatibility/2006">
    <mc:Choice Requires="x15">
      <x15ac:absPath xmlns:x15ac="http://schemas.microsoft.com/office/spreadsheetml/2010/11/ac" url="https://sibelco-my.sharepoint.com/personal/cas_mol_sibelco_com/Documents/_Mijn documenten/SWeRF/Laatste versies/"/>
    </mc:Choice>
  </mc:AlternateContent>
  <xr:revisionPtr revIDLastSave="2" documentId="8_{F15E466E-253F-4901-810A-D503ED68BF24}" xr6:coauthVersionLast="41" xr6:coauthVersionMax="41" xr10:uidLastSave="{2E61A303-3075-4C4C-A8E8-0695D198B5E5}"/>
  <workbookProtection workbookAlgorithmName="SHA-512" workbookHashValue="Bri7FYHmH9Ug4O1QqPoTpvIiDW4fbROJo9HlgEgcz9miFYn3Sapv4TI6sIF2JH/GxMPZhScrsY0rXVh+952EaA==" workbookSaltValue="P+7sfMlCkJhrJrCufL2nlg==" workbookSpinCount="100000" lockStructure="1"/>
  <bookViews>
    <workbookView xWindow="28680" yWindow="-120" windowWidth="29040" windowHeight="15840" activeTab="1" xr2:uid="{00000000-000D-0000-FFFF-FFFF00000000}"/>
  </bookViews>
  <sheets>
    <sheet name="Guide" sheetId="3" r:id="rId1"/>
    <sheet name="SWeRF" sheetId="1" r:id="rId2"/>
    <sheet name="Calculations" sheetId="2" state="hidden" r:id="rId3"/>
  </sheets>
  <definedNames>
    <definedName name="h">SWeRF!$Q$10</definedName>
    <definedName name="HH">SWeRF!$Q$11</definedName>
    <definedName name="M">Calculations!$W$2</definedName>
    <definedName name="n">SWeRF!$Q$7</definedName>
    <definedName name="_xlnm.Print_Area" localSheetId="0">Guide!$A$1:$R$50</definedName>
    <definedName name="_xlnm.Print_Area" localSheetId="1">SWeRF!$B$2:$R$43</definedName>
    <definedName name="rcs">SWeRF!$M$3</definedName>
    <definedName name="rm">SWeRF!$Q$8</definedName>
    <definedName name="rs">SWeRF!$J$3</definedName>
    <definedName name="S">Calculations!$W$3</definedName>
    <definedName name="solver_adj" localSheetId="1" hidden="1">SWeRF!$M$4</definedName>
    <definedName name="solver_cvg" localSheetId="1" hidden="1">0.0001</definedName>
    <definedName name="solver_drv" localSheetId="1" hidden="1">1</definedName>
    <definedName name="solver_est" localSheetId="1" hidden="1">1</definedName>
    <definedName name="solver_itr" localSheetId="1" hidden="1">100</definedName>
    <definedName name="solver_lhs1" localSheetId="1" hidden="1">Calculations!#REF!</definedName>
    <definedName name="solver_lin" localSheetId="1" hidden="1">2</definedName>
    <definedName name="solver_neg" localSheetId="1" hidden="1">2</definedName>
    <definedName name="solver_num" localSheetId="1" hidden="1">0</definedName>
    <definedName name="solver_nwt" localSheetId="1" hidden="1">1</definedName>
    <definedName name="solver_opt" localSheetId="1" hidden="1">Calculations!#REF!</definedName>
    <definedName name="solver_pre" localSheetId="1" hidden="1">0.000001</definedName>
    <definedName name="solver_rel1" localSheetId="1" hidden="1">2</definedName>
    <definedName name="solver_rhs1" localSheetId="1" hidden="1">Calculations!$R$111</definedName>
    <definedName name="solver_scl" localSheetId="1" hidden="1">2</definedName>
    <definedName name="solver_sho" localSheetId="1" hidden="1">2</definedName>
    <definedName name="solver_tim" localSheetId="1" hidden="1">100</definedName>
    <definedName name="solver_tol" localSheetId="1" hidden="1">0.05</definedName>
    <definedName name="solver_typ" localSheetId="1" hidden="1">3</definedName>
    <definedName name="solver_val" localSheetId="1" hidden="1">0</definedName>
    <definedName name="T">SWeRF!$Q$6</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2" i="3" l="1"/>
  <c r="N4" i="3"/>
  <c r="L4" i="3"/>
  <c r="K4" i="3"/>
  <c r="I4" i="3"/>
  <c r="N3" i="3"/>
  <c r="M3" i="3"/>
  <c r="L3" i="3"/>
  <c r="K3" i="3"/>
  <c r="J3" i="3"/>
  <c r="I3" i="3"/>
  <c r="F3" i="3"/>
  <c r="H2" i="3"/>
  <c r="G2" i="3"/>
  <c r="F2" i="3"/>
  <c r="D11" i="3"/>
  <c r="C11" i="3"/>
  <c r="D10" i="3"/>
  <c r="C10" i="3"/>
  <c r="D9" i="3"/>
  <c r="C9" i="3"/>
  <c r="D8" i="3"/>
  <c r="C8" i="3"/>
  <c r="C7" i="3"/>
  <c r="C6" i="3"/>
  <c r="C5" i="3"/>
  <c r="Q33" i="3"/>
  <c r="Q16" i="3"/>
  <c r="Q15" i="3"/>
  <c r="Q11" i="3"/>
  <c r="Q10" i="3"/>
  <c r="Q9" i="3"/>
  <c r="Q6" i="3"/>
  <c r="Q8" i="1"/>
  <c r="Q7" i="1"/>
  <c r="Q7" i="3" s="1"/>
  <c r="AR5" i="2"/>
  <c r="B6" i="2"/>
  <c r="Q34" i="1"/>
  <c r="Q34" i="3" s="1"/>
  <c r="Q17" i="1"/>
  <c r="Q17" i="3" s="1"/>
  <c r="N3" i="2"/>
  <c r="M54" i="2" s="1"/>
  <c r="X54" i="2" s="1"/>
  <c r="AC3" i="2"/>
  <c r="G40" i="2"/>
  <c r="G39" i="2"/>
  <c r="G38" i="2"/>
  <c r="AD38" i="2" s="1"/>
  <c r="G37" i="2"/>
  <c r="G36" i="2"/>
  <c r="G35" i="2"/>
  <c r="G34" i="2"/>
  <c r="G33" i="2"/>
  <c r="G32" i="2"/>
  <c r="AD32" i="2" s="1"/>
  <c r="G31" i="2"/>
  <c r="G30" i="2"/>
  <c r="G29" i="2"/>
  <c r="G28" i="2"/>
  <c r="G27" i="2"/>
  <c r="O27" i="2" s="1"/>
  <c r="G26" i="2"/>
  <c r="AD26" i="2" s="1"/>
  <c r="G25" i="2"/>
  <c r="O25" i="2" s="1"/>
  <c r="G24" i="2"/>
  <c r="G23" i="2"/>
  <c r="G22" i="2"/>
  <c r="G21" i="2"/>
  <c r="G20" i="2"/>
  <c r="G19" i="2"/>
  <c r="G18" i="2"/>
  <c r="G17" i="2"/>
  <c r="G16" i="2"/>
  <c r="G15" i="2"/>
  <c r="G14" i="2"/>
  <c r="AD14" i="2" s="1"/>
  <c r="G13" i="2"/>
  <c r="G12" i="2"/>
  <c r="O12" i="2" s="1"/>
  <c r="G11" i="2"/>
  <c r="G10" i="2"/>
  <c r="G9" i="2"/>
  <c r="E9" i="2" s="1"/>
  <c r="F9" i="2"/>
  <c r="AB9" i="2" s="1"/>
  <c r="F40" i="2"/>
  <c r="F39" i="2"/>
  <c r="F38" i="2"/>
  <c r="AB38" i="2" s="1"/>
  <c r="F37" i="2"/>
  <c r="AB37" i="2" s="1"/>
  <c r="F36" i="2"/>
  <c r="F35" i="2"/>
  <c r="M35" i="2" s="1"/>
  <c r="Y35" i="2" s="1"/>
  <c r="F34" i="2"/>
  <c r="F33" i="2"/>
  <c r="F32" i="2"/>
  <c r="F31" i="2"/>
  <c r="AB31" i="2" s="1"/>
  <c r="F30" i="2"/>
  <c r="F29" i="2"/>
  <c r="F28" i="2"/>
  <c r="F27" i="2"/>
  <c r="M27" i="2" s="1"/>
  <c r="Y27" i="2" s="1"/>
  <c r="F26" i="2"/>
  <c r="F25" i="2"/>
  <c r="F24" i="2"/>
  <c r="F23" i="2"/>
  <c r="F22" i="2"/>
  <c r="AB22" i="2" s="1"/>
  <c r="F21" i="2"/>
  <c r="F20" i="2"/>
  <c r="F19" i="2"/>
  <c r="H20" i="2" s="1"/>
  <c r="F18" i="2"/>
  <c r="F17" i="2"/>
  <c r="F16" i="2"/>
  <c r="F15" i="2"/>
  <c r="F14" i="2"/>
  <c r="F13" i="2"/>
  <c r="F12" i="2"/>
  <c r="F11" i="2"/>
  <c r="AB11" i="2" s="1"/>
  <c r="F10" i="2"/>
  <c r="F41" i="2"/>
  <c r="AB41" i="2" s="1"/>
  <c r="G41" i="2"/>
  <c r="O41" i="2" s="1"/>
  <c r="F42" i="2"/>
  <c r="F43" i="2"/>
  <c r="F45" i="2"/>
  <c r="G42" i="2"/>
  <c r="O42" i="2" s="1"/>
  <c r="M28" i="2"/>
  <c r="X28" i="2" s="1"/>
  <c r="F46" i="2"/>
  <c r="AB46" i="2" s="1"/>
  <c r="F44" i="2"/>
  <c r="AB44" i="2" s="1"/>
  <c r="G43" i="2"/>
  <c r="F47" i="2"/>
  <c r="F48" i="2"/>
  <c r="AB48" i="2" s="1"/>
  <c r="G44" i="2"/>
  <c r="AD44" i="2" s="1"/>
  <c r="G45" i="2"/>
  <c r="F49" i="2"/>
  <c r="F50" i="2"/>
  <c r="AB50" i="2" s="1"/>
  <c r="G46" i="2"/>
  <c r="O46" i="2" s="1"/>
  <c r="F51" i="2"/>
  <c r="G47" i="2"/>
  <c r="AD47" i="2" s="1"/>
  <c r="G48" i="2"/>
  <c r="AD48" i="2" s="1"/>
  <c r="F52" i="2"/>
  <c r="G49" i="2"/>
  <c r="F53" i="2"/>
  <c r="F54" i="2"/>
  <c r="G50" i="2"/>
  <c r="G51" i="2"/>
  <c r="O51" i="2" s="1"/>
  <c r="F55" i="2"/>
  <c r="G52" i="2"/>
  <c r="AD52" i="2" s="1"/>
  <c r="F56" i="2"/>
  <c r="AB56" i="2" s="1"/>
  <c r="F57" i="2"/>
  <c r="G53" i="2"/>
  <c r="AD53" i="2" s="1"/>
  <c r="G54" i="2"/>
  <c r="AD54" i="2" s="1"/>
  <c r="F58" i="2"/>
  <c r="G55" i="2"/>
  <c r="F59" i="2"/>
  <c r="F60" i="2"/>
  <c r="AB60" i="2" s="1"/>
  <c r="G56" i="2"/>
  <c r="AD56" i="2" s="1"/>
  <c r="F61" i="2"/>
  <c r="AB61" i="2" s="1"/>
  <c r="G57" i="2"/>
  <c r="AD57" i="2" s="1"/>
  <c r="G58" i="2"/>
  <c r="F62" i="2"/>
  <c r="G59" i="2"/>
  <c r="F63" i="2"/>
  <c r="F64" i="2"/>
  <c r="G60" i="2"/>
  <c r="AD60" i="2" s="1"/>
  <c r="G61" i="2"/>
  <c r="F65" i="2"/>
  <c r="F66" i="2"/>
  <c r="H66" i="2" s="1"/>
  <c r="G62" i="2"/>
  <c r="F67" i="2"/>
  <c r="G63" i="2"/>
  <c r="O63" i="2" s="1"/>
  <c r="G64" i="2"/>
  <c r="F68" i="2"/>
  <c r="F69" i="2"/>
  <c r="AB69" i="2" s="1"/>
  <c r="G65" i="2"/>
  <c r="AD65" i="2" s="1"/>
  <c r="F70" i="2"/>
  <c r="G66" i="2"/>
  <c r="F71" i="2"/>
  <c r="G67" i="2"/>
  <c r="G68" i="2"/>
  <c r="AD68" i="2" s="1"/>
  <c r="F72" i="2"/>
  <c r="F73" i="2"/>
  <c r="G69" i="2"/>
  <c r="G70" i="2"/>
  <c r="F74" i="2"/>
  <c r="F75" i="2"/>
  <c r="G71" i="2"/>
  <c r="F76" i="2"/>
  <c r="G72" i="2"/>
  <c r="G73" i="2"/>
  <c r="O73" i="2" s="1"/>
  <c r="F77" i="2"/>
  <c r="AB77" i="2" s="1"/>
  <c r="F78" i="2"/>
  <c r="G74" i="2"/>
  <c r="G75" i="2"/>
  <c r="F79" i="2"/>
  <c r="G76" i="2"/>
  <c r="AD76" i="2" s="1"/>
  <c r="AB79" i="2"/>
  <c r="F80" i="2"/>
  <c r="F81" i="2"/>
  <c r="G77" i="2"/>
  <c r="F82" i="2"/>
  <c r="G78" i="2"/>
  <c r="G79" i="2"/>
  <c r="O79" i="2" s="1"/>
  <c r="F83" i="2"/>
  <c r="F84" i="2"/>
  <c r="G80" i="2"/>
  <c r="O80" i="2" s="1"/>
  <c r="G81" i="2"/>
  <c r="F85" i="2"/>
  <c r="F86" i="2"/>
  <c r="G82" i="2"/>
  <c r="AD82" i="2" s="1"/>
  <c r="G83" i="2"/>
  <c r="F87" i="2"/>
  <c r="G84" i="2"/>
  <c r="F88" i="2"/>
  <c r="H89" i="2" s="1"/>
  <c r="F89" i="2"/>
  <c r="G85" i="2"/>
  <c r="G86" i="2"/>
  <c r="O86" i="2" s="1"/>
  <c r="F90" i="2"/>
  <c r="F91" i="2"/>
  <c r="H91" i="2" s="1"/>
  <c r="G87" i="2"/>
  <c r="F92" i="2"/>
  <c r="G88" i="2"/>
  <c r="F93" i="2"/>
  <c r="G89" i="2"/>
  <c r="G90" i="2"/>
  <c r="F94" i="2"/>
  <c r="G91" i="2"/>
  <c r="F95" i="2"/>
  <c r="AB95" i="2" s="1"/>
  <c r="G92" i="2"/>
  <c r="F96" i="2"/>
  <c r="G93" i="2"/>
  <c r="O93" i="2" s="1"/>
  <c r="F97" i="2"/>
  <c r="F98" i="2"/>
  <c r="G94" i="2"/>
  <c r="AD94" i="2" s="1"/>
  <c r="G95" i="2"/>
  <c r="O95" i="2" s="1"/>
  <c r="F99" i="2"/>
  <c r="F100" i="2"/>
  <c r="G96" i="2"/>
  <c r="F101" i="2"/>
  <c r="G97" i="2"/>
  <c r="AD97" i="2" s="1"/>
  <c r="F102" i="2"/>
  <c r="G98" i="2"/>
  <c r="O98" i="2" s="1"/>
  <c r="G99" i="2"/>
  <c r="AD99" i="2" s="1"/>
  <c r="F103" i="2"/>
  <c r="G100" i="2"/>
  <c r="F104" i="2"/>
  <c r="AB104" i="2" s="1"/>
  <c r="F105" i="2"/>
  <c r="G101" i="2"/>
  <c r="AD101" i="2" s="1"/>
  <c r="F106" i="2"/>
  <c r="G102" i="2"/>
  <c r="F107" i="2"/>
  <c r="H107" i="2" s="1"/>
  <c r="G103" i="2"/>
  <c r="O103" i="2" s="1"/>
  <c r="F108" i="2"/>
  <c r="G104" i="2"/>
  <c r="G105" i="2"/>
  <c r="AD105" i="2" s="1"/>
  <c r="G106" i="2"/>
  <c r="G107" i="2"/>
  <c r="O107" i="2" s="1"/>
  <c r="G108" i="2"/>
  <c r="H43" i="2" l="1"/>
  <c r="H93" i="2"/>
  <c r="H19" i="2"/>
  <c r="M71" i="2"/>
  <c r="X71" i="2" s="1"/>
  <c r="M64" i="2"/>
  <c r="M13" i="2"/>
  <c r="Y13" i="2" s="1"/>
  <c r="M21" i="2"/>
  <c r="X21" i="2" s="1"/>
  <c r="M67" i="2"/>
  <c r="Y67" i="2" s="1"/>
  <c r="M86" i="2"/>
  <c r="M74" i="2"/>
  <c r="M62" i="2"/>
  <c r="X62" i="2" s="1"/>
  <c r="M23" i="2"/>
  <c r="Y23" i="2" s="1"/>
  <c r="M31" i="2"/>
  <c r="M39" i="2"/>
  <c r="Y39" i="2" s="1"/>
  <c r="N66" i="2"/>
  <c r="U66" i="2" s="1"/>
  <c r="M17" i="2"/>
  <c r="X17" i="2" s="1"/>
  <c r="M105" i="2"/>
  <c r="X105" i="2" s="1"/>
  <c r="M11" i="2"/>
  <c r="Y11" i="2" s="1"/>
  <c r="AB42" i="2"/>
  <c r="AN91" i="2"/>
  <c r="AB71" i="2"/>
  <c r="M19" i="2"/>
  <c r="X19" i="2" s="1"/>
  <c r="AB39" i="2"/>
  <c r="AB76" i="2"/>
  <c r="AC77" i="2" s="1"/>
  <c r="M89" i="2"/>
  <c r="X89" i="2" s="1"/>
  <c r="M57" i="2"/>
  <c r="Y57" i="2" s="1"/>
  <c r="M20" i="2"/>
  <c r="X20" i="2" s="1"/>
  <c r="M42" i="2"/>
  <c r="M29" i="2"/>
  <c r="X29" i="2" s="1"/>
  <c r="M82" i="2"/>
  <c r="X82" i="2" s="1"/>
  <c r="M73" i="2"/>
  <c r="Y73" i="2" s="1"/>
  <c r="M65" i="2"/>
  <c r="Y65" i="2" s="1"/>
  <c r="M52" i="2"/>
  <c r="X52" i="2" s="1"/>
  <c r="AC42" i="2"/>
  <c r="M95" i="2"/>
  <c r="Y95" i="2" s="1"/>
  <c r="H87" i="2"/>
  <c r="AN87" i="2" s="1"/>
  <c r="AC61" i="2"/>
  <c r="AK61" i="2" s="1"/>
  <c r="M60" i="2"/>
  <c r="X60" i="2" s="1"/>
  <c r="H59" i="2"/>
  <c r="AN59" i="2" s="1"/>
  <c r="H55" i="2"/>
  <c r="N55" i="2" s="1"/>
  <c r="V55" i="2" s="1"/>
  <c r="AB108" i="2"/>
  <c r="H106" i="2"/>
  <c r="N106" i="2" s="1"/>
  <c r="U106" i="2" s="1"/>
  <c r="AB100" i="2"/>
  <c r="AB96" i="2"/>
  <c r="AC96" i="2" s="1"/>
  <c r="AK96" i="2" s="1"/>
  <c r="H95" i="2"/>
  <c r="N95" i="2" s="1"/>
  <c r="V95" i="2" s="1"/>
  <c r="AB62" i="2"/>
  <c r="AC62" i="2" s="1"/>
  <c r="AK62" i="2" s="1"/>
  <c r="AB53" i="2"/>
  <c r="AB49" i="2"/>
  <c r="AC49" i="2" s="1"/>
  <c r="M46" i="2"/>
  <c r="Y46" i="2" s="1"/>
  <c r="AB36" i="2"/>
  <c r="M18" i="2"/>
  <c r="X18" i="2" s="1"/>
  <c r="AB15" i="2"/>
  <c r="M108" i="2"/>
  <c r="M103" i="2"/>
  <c r="X103" i="2" s="1"/>
  <c r="H97" i="2"/>
  <c r="N97" i="2" s="1"/>
  <c r="M90" i="2"/>
  <c r="Y90" i="2" s="1"/>
  <c r="AB81" i="2"/>
  <c r="M79" i="2"/>
  <c r="M76" i="2"/>
  <c r="X76" i="2" s="1"/>
  <c r="AB74" i="2"/>
  <c r="H71" i="2"/>
  <c r="N71" i="2" s="1"/>
  <c r="U71" i="2" s="1"/>
  <c r="M63" i="2"/>
  <c r="X63" i="2" s="1"/>
  <c r="AB57" i="2"/>
  <c r="AC57" i="2" s="1"/>
  <c r="M56" i="2"/>
  <c r="Y56" i="2" s="1"/>
  <c r="Y54" i="2"/>
  <c r="Z54" i="2" s="1"/>
  <c r="M51" i="2"/>
  <c r="Y51" i="2" s="1"/>
  <c r="E45" i="2"/>
  <c r="AB27" i="2"/>
  <c r="AC27" i="2" s="1"/>
  <c r="AB19" i="2"/>
  <c r="AB20" i="2"/>
  <c r="AC20" i="2" s="1"/>
  <c r="AJ20" i="2" s="1"/>
  <c r="AB24" i="2"/>
  <c r="AB32" i="2"/>
  <c r="M36" i="2"/>
  <c r="M40" i="2"/>
  <c r="X40" i="2" s="1"/>
  <c r="AN43" i="2"/>
  <c r="Q14" i="1"/>
  <c r="Q14" i="3" s="1"/>
  <c r="AN89" i="2"/>
  <c r="Q8" i="3"/>
  <c r="Q32" i="1"/>
  <c r="Y105" i="2"/>
  <c r="Z105" i="2" s="1"/>
  <c r="AN106" i="2"/>
  <c r="Y64" i="2"/>
  <c r="X64" i="2"/>
  <c r="Y86" i="2"/>
  <c r="X86" i="2"/>
  <c r="H86" i="2"/>
  <c r="AN86" i="2" s="1"/>
  <c r="C69" i="2"/>
  <c r="H61" i="2"/>
  <c r="N61" i="2" s="1"/>
  <c r="M53" i="2"/>
  <c r="X53" i="2" s="1"/>
  <c r="H30" i="2"/>
  <c r="N30" i="2" s="1"/>
  <c r="AB105" i="2"/>
  <c r="AC105" i="2" s="1"/>
  <c r="H102" i="2"/>
  <c r="N102" i="2" s="1"/>
  <c r="M97" i="2"/>
  <c r="Y97" i="2" s="1"/>
  <c r="AB94" i="2"/>
  <c r="AB87" i="2"/>
  <c r="AB86" i="2"/>
  <c r="D71" i="2"/>
  <c r="AB67" i="2"/>
  <c r="H51" i="2"/>
  <c r="N51" i="2" s="1"/>
  <c r="V51" i="2" s="1"/>
  <c r="M9" i="2"/>
  <c r="X9" i="2" s="1"/>
  <c r="M85" i="2"/>
  <c r="X85" i="2" s="1"/>
  <c r="AB73" i="2"/>
  <c r="AB66" i="2"/>
  <c r="H65" i="2"/>
  <c r="AB63" i="2"/>
  <c r="H57" i="2"/>
  <c r="N57" i="2" s="1"/>
  <c r="U57" i="2" s="1"/>
  <c r="X35" i="2"/>
  <c r="Z35" i="2" s="1"/>
  <c r="H47" i="2"/>
  <c r="AN47" i="2" s="1"/>
  <c r="AB35" i="2"/>
  <c r="M15" i="2"/>
  <c r="X15" i="2" s="1"/>
  <c r="AB23" i="2"/>
  <c r="AC23" i="2" s="1"/>
  <c r="M59" i="2"/>
  <c r="H60" i="2"/>
  <c r="X13" i="2"/>
  <c r="H98" i="2"/>
  <c r="N98" i="2" s="1"/>
  <c r="AB97" i="2"/>
  <c r="AC97" i="2" s="1"/>
  <c r="AB91" i="2"/>
  <c r="H90" i="2"/>
  <c r="M87" i="2"/>
  <c r="N86" i="2"/>
  <c r="V86" i="2" s="1"/>
  <c r="AB82" i="2"/>
  <c r="V66" i="2"/>
  <c r="AB59" i="2"/>
  <c r="AC60" i="2" s="1"/>
  <c r="AB55" i="2"/>
  <c r="AC56" i="2" s="1"/>
  <c r="AJ56" i="2" s="1"/>
  <c r="H53" i="2"/>
  <c r="H52" i="2"/>
  <c r="N52" i="2" s="1"/>
  <c r="U52" i="2" s="1"/>
  <c r="X11" i="2"/>
  <c r="Z11" i="2" s="1"/>
  <c r="AN19" i="2"/>
  <c r="N19" i="2"/>
  <c r="V19" i="2" s="1"/>
  <c r="H34" i="2"/>
  <c r="AN34" i="2" s="1"/>
  <c r="AC38" i="2"/>
  <c r="AJ38" i="2" s="1"/>
  <c r="AB103" i="2"/>
  <c r="AC104" i="2" s="1"/>
  <c r="AK104" i="2" s="1"/>
  <c r="AB98" i="2"/>
  <c r="M98" i="2"/>
  <c r="AC95" i="2"/>
  <c r="AK95" i="2" s="1"/>
  <c r="M94" i="2"/>
  <c r="H94" i="2"/>
  <c r="N91" i="2"/>
  <c r="AB90" i="2"/>
  <c r="Y89" i="2"/>
  <c r="Z89" i="2" s="1"/>
  <c r="AB89" i="2"/>
  <c r="H88" i="2"/>
  <c r="AN88" i="2" s="1"/>
  <c r="M88" i="2"/>
  <c r="AB85" i="2"/>
  <c r="M81" i="2"/>
  <c r="X81" i="2" s="1"/>
  <c r="V71" i="2"/>
  <c r="W71" i="2" s="1"/>
  <c r="AB70" i="2"/>
  <c r="AC71" i="2" s="1"/>
  <c r="H70" i="2"/>
  <c r="AN66" i="2"/>
  <c r="M66" i="2"/>
  <c r="X66" i="2" s="1"/>
  <c r="H63" i="2"/>
  <c r="H62" i="2"/>
  <c r="M61" i="2"/>
  <c r="M55" i="2"/>
  <c r="H54" i="2"/>
  <c r="AN54" i="2" s="1"/>
  <c r="AB51" i="2"/>
  <c r="AC51" i="2" s="1"/>
  <c r="M48" i="2"/>
  <c r="AB18" i="2"/>
  <c r="AB106" i="2"/>
  <c r="M106" i="2"/>
  <c r="AN95" i="2"/>
  <c r="M91" i="2"/>
  <c r="N89" i="2"/>
  <c r="U89" i="2" s="1"/>
  <c r="AB88" i="2"/>
  <c r="N87" i="2"/>
  <c r="H82" i="2"/>
  <c r="N82" i="2" s="1"/>
  <c r="H74" i="2"/>
  <c r="N74" i="2" s="1"/>
  <c r="M70" i="2"/>
  <c r="Y70" i="2" s="1"/>
  <c r="AB65" i="2"/>
  <c r="H64" i="2"/>
  <c r="AB64" i="2"/>
  <c r="H56" i="2"/>
  <c r="AB54" i="2"/>
  <c r="AB52" i="2"/>
  <c r="X51" i="2"/>
  <c r="Z51" i="2" s="1"/>
  <c r="N43" i="2"/>
  <c r="U43" i="2" s="1"/>
  <c r="AC39" i="2"/>
  <c r="AJ39" i="2" s="1"/>
  <c r="H41" i="2"/>
  <c r="H77" i="2"/>
  <c r="H67" i="2"/>
  <c r="AC32" i="2"/>
  <c r="AJ32" i="2" s="1"/>
  <c r="N93" i="2"/>
  <c r="AN93" i="2"/>
  <c r="H72" i="2"/>
  <c r="AB72" i="2"/>
  <c r="H73" i="2"/>
  <c r="M72" i="2"/>
  <c r="H68" i="2"/>
  <c r="AB68" i="2"/>
  <c r="N107" i="2"/>
  <c r="AN107" i="2"/>
  <c r="M99" i="2"/>
  <c r="AB99" i="2"/>
  <c r="H99" i="2"/>
  <c r="AB107" i="2"/>
  <c r="M101" i="2"/>
  <c r="AB101" i="2"/>
  <c r="H101" i="2"/>
  <c r="AJ96" i="2"/>
  <c r="X74" i="2"/>
  <c r="Y74" i="2"/>
  <c r="M68" i="2"/>
  <c r="M107" i="2"/>
  <c r="H100" i="2"/>
  <c r="X95" i="2"/>
  <c r="H92" i="2"/>
  <c r="AB92" i="2"/>
  <c r="M92" i="2"/>
  <c r="H80" i="2"/>
  <c r="AB80" i="2"/>
  <c r="M80" i="2"/>
  <c r="H83" i="2"/>
  <c r="AB83" i="2"/>
  <c r="M83" i="2"/>
  <c r="H75" i="2"/>
  <c r="M75" i="2"/>
  <c r="H108" i="2"/>
  <c r="U86" i="2"/>
  <c r="H84" i="2"/>
  <c r="AB84" i="2"/>
  <c r="H85" i="2"/>
  <c r="M84" i="2"/>
  <c r="AB78" i="2"/>
  <c r="AC78" i="2" s="1"/>
  <c r="H78" i="2"/>
  <c r="AB75" i="2"/>
  <c r="AC75" i="2" s="1"/>
  <c r="N67" i="2"/>
  <c r="AN67" i="2"/>
  <c r="AJ42" i="2"/>
  <c r="AK42" i="2"/>
  <c r="H104" i="2"/>
  <c r="M104" i="2"/>
  <c r="H105" i="2"/>
  <c r="M102" i="2"/>
  <c r="AB102" i="2"/>
  <c r="H96" i="2"/>
  <c r="M96" i="2"/>
  <c r="Y81" i="2"/>
  <c r="H79" i="2"/>
  <c r="M78" i="2"/>
  <c r="H58" i="2"/>
  <c r="AB58" i="2"/>
  <c r="M58" i="2"/>
  <c r="AK32" i="2"/>
  <c r="X56" i="2"/>
  <c r="Z56" i="2" s="1"/>
  <c r="H46" i="2"/>
  <c r="AB47" i="2"/>
  <c r="AC47" i="2" s="1"/>
  <c r="M47" i="2"/>
  <c r="AC37" i="2"/>
  <c r="Y9" i="2"/>
  <c r="AN30" i="2"/>
  <c r="H42" i="2"/>
  <c r="M41" i="2"/>
  <c r="H13" i="2"/>
  <c r="AB13" i="2"/>
  <c r="M25" i="2"/>
  <c r="AB25" i="2"/>
  <c r="H25" i="2"/>
  <c r="H29" i="2"/>
  <c r="AB29" i="2"/>
  <c r="H33" i="2"/>
  <c r="M33" i="2"/>
  <c r="H37" i="2"/>
  <c r="Y52" i="2"/>
  <c r="Z52" i="2" s="1"/>
  <c r="Y21" i="2"/>
  <c r="Z21" i="2" s="1"/>
  <c r="Y18" i="2"/>
  <c r="Z18" i="2" s="1"/>
  <c r="Y28" i="2"/>
  <c r="Z28" i="2" s="1"/>
  <c r="AB17" i="2"/>
  <c r="AB33" i="2"/>
  <c r="AC33" i="2" s="1"/>
  <c r="H21" i="2"/>
  <c r="H36" i="2"/>
  <c r="AB43" i="2"/>
  <c r="M43" i="2"/>
  <c r="H11" i="2"/>
  <c r="H10" i="2"/>
  <c r="M10" i="2"/>
  <c r="AB10" i="2"/>
  <c r="AC10" i="2" s="1"/>
  <c r="M14" i="2"/>
  <c r="AB14" i="2"/>
  <c r="H14" i="2"/>
  <c r="H15" i="2"/>
  <c r="H22" i="2"/>
  <c r="H23" i="2"/>
  <c r="M22" i="2"/>
  <c r="H27" i="2"/>
  <c r="H26" i="2"/>
  <c r="M26" i="2"/>
  <c r="AB26" i="2"/>
  <c r="AB30" i="2"/>
  <c r="H31" i="2"/>
  <c r="M34" i="2"/>
  <c r="H35" i="2"/>
  <c r="M38" i="2"/>
  <c r="H38" i="2"/>
  <c r="F109" i="2"/>
  <c r="H103" i="2"/>
  <c r="M100" i="2"/>
  <c r="AB93" i="2"/>
  <c r="M93" i="2"/>
  <c r="H81" i="2"/>
  <c r="M77" i="2"/>
  <c r="H76" i="2"/>
  <c r="AN74" i="2"/>
  <c r="H69" i="2"/>
  <c r="M69" i="2"/>
  <c r="M50" i="2"/>
  <c r="H50" i="2"/>
  <c r="X46" i="2"/>
  <c r="Z46" i="2" s="1"/>
  <c r="X27" i="2"/>
  <c r="Z27" i="2" s="1"/>
  <c r="M44" i="2"/>
  <c r="H44" i="2"/>
  <c r="M24" i="2"/>
  <c r="M37" i="2"/>
  <c r="AB21" i="2"/>
  <c r="AB34" i="2"/>
  <c r="AC34" i="2" s="1"/>
  <c r="M30" i="2"/>
  <c r="Y31" i="2"/>
  <c r="X31" i="2"/>
  <c r="H18" i="2"/>
  <c r="H17" i="2"/>
  <c r="H24" i="2"/>
  <c r="H39" i="2"/>
  <c r="M49" i="2"/>
  <c r="H49" i="2"/>
  <c r="AB45" i="2"/>
  <c r="AC45" i="2" s="1"/>
  <c r="H45" i="2"/>
  <c r="M45" i="2"/>
  <c r="N20" i="2"/>
  <c r="AN20" i="2"/>
  <c r="AB12" i="2"/>
  <c r="AC12" i="2" s="1"/>
  <c r="H12" i="2"/>
  <c r="M12" i="2"/>
  <c r="H16" i="2"/>
  <c r="M16" i="2"/>
  <c r="AB16" i="2"/>
  <c r="AC16" i="2" s="1"/>
  <c r="H28" i="2"/>
  <c r="AB28" i="2"/>
  <c r="M32" i="2"/>
  <c r="H32" i="2"/>
  <c r="X36" i="2"/>
  <c r="Y36" i="2"/>
  <c r="AB40" i="2"/>
  <c r="H40" i="2"/>
  <c r="H48" i="2"/>
  <c r="O57" i="2"/>
  <c r="D108" i="2"/>
  <c r="O108" i="2"/>
  <c r="P108" i="2" s="1"/>
  <c r="AD108" i="2"/>
  <c r="AD107" i="2"/>
  <c r="AD93" i="2"/>
  <c r="AE94" i="2" s="1"/>
  <c r="D49" i="2"/>
  <c r="D18" i="2"/>
  <c r="C22" i="2"/>
  <c r="B75" i="2"/>
  <c r="AD51" i="2"/>
  <c r="E91" i="2"/>
  <c r="C88" i="2"/>
  <c r="E55" i="2"/>
  <c r="AD71" i="2"/>
  <c r="D59" i="2"/>
  <c r="O56" i="2"/>
  <c r="P57" i="2" s="1"/>
  <c r="I55" i="2"/>
  <c r="O47" i="2"/>
  <c r="P47" i="2" s="1"/>
  <c r="I38" i="2"/>
  <c r="AD95" i="2"/>
  <c r="AE95" i="2" s="1"/>
  <c r="AD74" i="2"/>
  <c r="B51" i="2"/>
  <c r="O38" i="2"/>
  <c r="O94" i="2"/>
  <c r="P95" i="2" s="1"/>
  <c r="B95" i="2"/>
  <c r="B94" i="2"/>
  <c r="I74" i="2"/>
  <c r="D74" i="2"/>
  <c r="AD98" i="2"/>
  <c r="AE99" i="2" s="1"/>
  <c r="C95" i="2"/>
  <c r="D94" i="2"/>
  <c r="AD79" i="2"/>
  <c r="E75" i="2"/>
  <c r="D67" i="2"/>
  <c r="C49" i="2"/>
  <c r="C47" i="2"/>
  <c r="O67" i="2"/>
  <c r="O48" i="2"/>
  <c r="B48" i="2"/>
  <c r="D98" i="2"/>
  <c r="C77" i="2"/>
  <c r="AE52" i="2"/>
  <c r="I50" i="2"/>
  <c r="E50" i="2"/>
  <c r="AD42" i="2"/>
  <c r="I22" i="2"/>
  <c r="C84" i="2"/>
  <c r="E69" i="2"/>
  <c r="I48" i="2"/>
  <c r="C48" i="2"/>
  <c r="B74" i="2"/>
  <c r="C74" i="2"/>
  <c r="AE57" i="2"/>
  <c r="O52" i="2"/>
  <c r="P52" i="2" s="1"/>
  <c r="D106" i="2"/>
  <c r="P80" i="2"/>
  <c r="D76" i="2"/>
  <c r="C75" i="2"/>
  <c r="D68" i="2"/>
  <c r="E58" i="2"/>
  <c r="AE53" i="2"/>
  <c r="O105" i="2"/>
  <c r="B91" i="2"/>
  <c r="D87" i="2"/>
  <c r="E76" i="2"/>
  <c r="I69" i="2"/>
  <c r="O68" i="2"/>
  <c r="E68" i="2"/>
  <c r="B52" i="2"/>
  <c r="D48" i="2"/>
  <c r="I32" i="2"/>
  <c r="E23" i="2"/>
  <c r="I108" i="2"/>
  <c r="I107" i="2"/>
  <c r="D79" i="2"/>
  <c r="AD75" i="2"/>
  <c r="AD69" i="2"/>
  <c r="AE69" i="2" s="1"/>
  <c r="O53" i="2"/>
  <c r="P53" i="2" s="1"/>
  <c r="I52" i="2"/>
  <c r="C52" i="2"/>
  <c r="O49" i="2"/>
  <c r="E49" i="2"/>
  <c r="D12" i="2"/>
  <c r="I13" i="2"/>
  <c r="D25" i="2"/>
  <c r="D36" i="2"/>
  <c r="C98" i="2"/>
  <c r="I99" i="2"/>
  <c r="E79" i="2"/>
  <c r="O65" i="2"/>
  <c r="E57" i="2"/>
  <c r="I54" i="2"/>
  <c r="B53" i="2"/>
  <c r="B26" i="2"/>
  <c r="B108" i="2"/>
  <c r="E108" i="2"/>
  <c r="C107" i="2"/>
  <c r="I103" i="2"/>
  <c r="E99" i="2"/>
  <c r="O97" i="2"/>
  <c r="P98" i="2" s="1"/>
  <c r="B84" i="2"/>
  <c r="O82" i="2"/>
  <c r="O75" i="2"/>
  <c r="I57" i="2"/>
  <c r="B57" i="2"/>
  <c r="AE54" i="2"/>
  <c r="I49" i="2"/>
  <c r="E48" i="2"/>
  <c r="C43" i="2"/>
  <c r="O26" i="2"/>
  <c r="P26" i="2" s="1"/>
  <c r="D26" i="2"/>
  <c r="C108" i="2"/>
  <c r="O91" i="2"/>
  <c r="I84" i="2"/>
  <c r="O76" i="2"/>
  <c r="B73" i="2"/>
  <c r="O71" i="2"/>
  <c r="B58" i="2"/>
  <c r="C57" i="2"/>
  <c r="B54" i="2"/>
  <c r="I26" i="2"/>
  <c r="C36" i="2"/>
  <c r="E15" i="2"/>
  <c r="E37" i="2"/>
  <c r="E100" i="2"/>
  <c r="I100" i="2"/>
  <c r="B100" i="2"/>
  <c r="AD81" i="2"/>
  <c r="AE82" i="2" s="1"/>
  <c r="B82" i="2"/>
  <c r="C81" i="2"/>
  <c r="AD104" i="2"/>
  <c r="AE105" i="2" s="1"/>
  <c r="D105" i="2"/>
  <c r="E105" i="2"/>
  <c r="I105" i="2"/>
  <c r="C96" i="2"/>
  <c r="B96" i="2"/>
  <c r="D85" i="2"/>
  <c r="AD85" i="2"/>
  <c r="I85" i="2"/>
  <c r="O62" i="2"/>
  <c r="P63" i="2" s="1"/>
  <c r="AD62" i="2"/>
  <c r="D62" i="2"/>
  <c r="O30" i="2"/>
  <c r="AD30" i="2"/>
  <c r="O33" i="2"/>
  <c r="B33" i="2"/>
  <c r="I33" i="2"/>
  <c r="AD40" i="2"/>
  <c r="O40" i="2"/>
  <c r="P41" i="2" s="1"/>
  <c r="B40" i="2"/>
  <c r="AD102" i="2"/>
  <c r="AE102" i="2" s="1"/>
  <c r="D102" i="2"/>
  <c r="O102" i="2"/>
  <c r="P103" i="2" s="1"/>
  <c r="I102" i="2"/>
  <c r="B89" i="2"/>
  <c r="C89" i="2"/>
  <c r="C86" i="2"/>
  <c r="O83" i="2"/>
  <c r="D83" i="2"/>
  <c r="B83" i="2"/>
  <c r="AD64" i="2"/>
  <c r="AE65" i="2" s="1"/>
  <c r="O64" i="2"/>
  <c r="P64" i="2" s="1"/>
  <c r="O61" i="2"/>
  <c r="AD61" i="2"/>
  <c r="AE61" i="2" s="1"/>
  <c r="B61" i="2"/>
  <c r="D61" i="2"/>
  <c r="I61" i="2"/>
  <c r="E31" i="2"/>
  <c r="E16" i="2"/>
  <c r="AD16" i="2"/>
  <c r="B16" i="2"/>
  <c r="E20" i="2"/>
  <c r="D21" i="2"/>
  <c r="I20" i="2"/>
  <c r="C24" i="2"/>
  <c r="E24" i="2"/>
  <c r="B24" i="2"/>
  <c r="C25" i="2"/>
  <c r="I25" i="2"/>
  <c r="B105" i="2"/>
  <c r="I104" i="2"/>
  <c r="E97" i="2"/>
  <c r="O96" i="2"/>
  <c r="P96" i="2" s="1"/>
  <c r="D90" i="2"/>
  <c r="O87" i="2"/>
  <c r="P87" i="2" s="1"/>
  <c r="B87" i="2"/>
  <c r="C85" i="2"/>
  <c r="C78" i="2"/>
  <c r="I78" i="2"/>
  <c r="AD77" i="2"/>
  <c r="AE77" i="2" s="1"/>
  <c r="D77" i="2"/>
  <c r="O77" i="2"/>
  <c r="D78" i="2"/>
  <c r="E65" i="2"/>
  <c r="B59" i="2"/>
  <c r="I59" i="2"/>
  <c r="E59" i="2"/>
  <c r="D60" i="2"/>
  <c r="O10" i="2"/>
  <c r="D10" i="2"/>
  <c r="C17" i="2"/>
  <c r="C105" i="2"/>
  <c r="O104" i="2"/>
  <c r="B103" i="2"/>
  <c r="C102" i="2"/>
  <c r="E101" i="2"/>
  <c r="D101" i="2"/>
  <c r="I101" i="2"/>
  <c r="AD100" i="2"/>
  <c r="AE100" i="2" s="1"/>
  <c r="C97" i="2"/>
  <c r="E96" i="2"/>
  <c r="C91" i="2"/>
  <c r="AD91" i="2"/>
  <c r="D91" i="2"/>
  <c r="I91" i="2"/>
  <c r="O89" i="2"/>
  <c r="B86" i="2"/>
  <c r="AD86" i="2"/>
  <c r="E86" i="2"/>
  <c r="I81" i="2"/>
  <c r="B62" i="2"/>
  <c r="C33" i="2"/>
  <c r="I11" i="2"/>
  <c r="B60" i="2"/>
  <c r="O60" i="2"/>
  <c r="AD50" i="2"/>
  <c r="B50" i="2"/>
  <c r="D51" i="2"/>
  <c r="E21" i="2"/>
  <c r="I21" i="2"/>
  <c r="AD34" i="2"/>
  <c r="C34" i="2"/>
  <c r="I76" i="2"/>
  <c r="C76" i="2"/>
  <c r="B70" i="2"/>
  <c r="AD70" i="2"/>
  <c r="D70" i="2"/>
  <c r="D69" i="2"/>
  <c r="AD67" i="2"/>
  <c r="AE68" i="2" s="1"/>
  <c r="B68" i="2"/>
  <c r="I68" i="2"/>
  <c r="C65" i="2"/>
  <c r="E60" i="2"/>
  <c r="AD58" i="2"/>
  <c r="AE58" i="2" s="1"/>
  <c r="D58" i="2"/>
  <c r="O58" i="2"/>
  <c r="B55" i="2"/>
  <c r="O55" i="2"/>
  <c r="D52" i="2"/>
  <c r="C53" i="2"/>
  <c r="C51" i="2"/>
  <c r="D50" i="2"/>
  <c r="D46" i="2"/>
  <c r="O17" i="2"/>
  <c r="I15" i="2"/>
  <c r="B15" i="2"/>
  <c r="D41" i="2"/>
  <c r="B17" i="2"/>
  <c r="D35" i="2"/>
  <c r="AD22" i="2"/>
  <c r="D22" i="2"/>
  <c r="O22" i="2"/>
  <c r="G109" i="2"/>
  <c r="I109" i="2" s="1"/>
  <c r="I82" i="2"/>
  <c r="B76" i="2"/>
  <c r="O74" i="2"/>
  <c r="D75" i="2"/>
  <c r="I75" i="2"/>
  <c r="I71" i="2"/>
  <c r="C70" i="2"/>
  <c r="O69" i="2"/>
  <c r="B69" i="2"/>
  <c r="C68" i="2"/>
  <c r="E66" i="2"/>
  <c r="I58" i="2"/>
  <c r="C58" i="2"/>
  <c r="D56" i="2"/>
  <c r="C56" i="2"/>
  <c r="D57" i="2"/>
  <c r="D53" i="2"/>
  <c r="E52" i="2"/>
  <c r="I51" i="2"/>
  <c r="E51" i="2"/>
  <c r="O50" i="2"/>
  <c r="C50" i="2"/>
  <c r="AD49" i="2"/>
  <c r="AE49" i="2" s="1"/>
  <c r="B49" i="2"/>
  <c r="I17" i="2"/>
  <c r="E42" i="2"/>
  <c r="E22" i="2"/>
  <c r="D23" i="2"/>
  <c r="E39" i="2"/>
  <c r="I47" i="2"/>
  <c r="B106" i="2"/>
  <c r="E107" i="2"/>
  <c r="E103" i="2"/>
  <c r="B104" i="2"/>
  <c r="AD92" i="2"/>
  <c r="D92" i="2"/>
  <c r="O92" i="2"/>
  <c r="D88" i="2"/>
  <c r="I88" i="2"/>
  <c r="B46" i="2"/>
  <c r="C46" i="2"/>
  <c r="E47" i="2"/>
  <c r="AD46" i="2"/>
  <c r="AE47" i="2" s="1"/>
  <c r="I46" i="2"/>
  <c r="D47" i="2"/>
  <c r="AD43" i="2"/>
  <c r="D43" i="2"/>
  <c r="O43" i="2"/>
  <c r="P43" i="2" s="1"/>
  <c r="B43" i="2"/>
  <c r="E43" i="2"/>
  <c r="C44" i="2"/>
  <c r="B44" i="2"/>
  <c r="D107" i="2"/>
  <c r="I106" i="2"/>
  <c r="C106" i="2"/>
  <c r="C104" i="2"/>
  <c r="D103" i="2"/>
  <c r="D99" i="2"/>
  <c r="O99" i="2"/>
  <c r="P99" i="2" s="1"/>
  <c r="B97" i="2"/>
  <c r="E98" i="2"/>
  <c r="E94" i="2"/>
  <c r="I94" i="2"/>
  <c r="D93" i="2"/>
  <c r="I92" i="2"/>
  <c r="C92" i="2"/>
  <c r="I90" i="2"/>
  <c r="O88" i="2"/>
  <c r="E88" i="2"/>
  <c r="E80" i="2"/>
  <c r="I80" i="2"/>
  <c r="AD80" i="2"/>
  <c r="C80" i="2"/>
  <c r="AD72" i="2"/>
  <c r="D72" i="2"/>
  <c r="E72" i="2"/>
  <c r="E73" i="2"/>
  <c r="I73" i="2"/>
  <c r="I72" i="2"/>
  <c r="D73" i="2"/>
  <c r="B66" i="2"/>
  <c r="O66" i="2"/>
  <c r="C67" i="2"/>
  <c r="AD66" i="2"/>
  <c r="D66" i="2"/>
  <c r="E67" i="2"/>
  <c r="C66" i="2"/>
  <c r="B47" i="2"/>
  <c r="E46" i="2"/>
  <c r="I43" i="2"/>
  <c r="O106" i="2"/>
  <c r="D104" i="2"/>
  <c r="B101" i="2"/>
  <c r="O101" i="2"/>
  <c r="E102" i="2"/>
  <c r="B99" i="2"/>
  <c r="I97" i="2"/>
  <c r="I95" i="2"/>
  <c r="E95" i="2"/>
  <c r="C94" i="2"/>
  <c r="B93" i="2"/>
  <c r="B92" i="2"/>
  <c r="B90" i="2"/>
  <c r="I89" i="2"/>
  <c r="E89" i="2"/>
  <c r="E81" i="2"/>
  <c r="O81" i="2"/>
  <c r="P81" i="2" s="1"/>
  <c r="B81" i="2"/>
  <c r="B80" i="2"/>
  <c r="B77" i="2"/>
  <c r="I77" i="2"/>
  <c r="O72" i="2"/>
  <c r="C72" i="2"/>
  <c r="E70" i="2"/>
  <c r="O70" i="2"/>
  <c r="E71" i="2"/>
  <c r="C71" i="2"/>
  <c r="I66" i="2"/>
  <c r="B107" i="2"/>
  <c r="E106" i="2"/>
  <c r="AD106" i="2"/>
  <c r="AE106" i="2" s="1"/>
  <c r="E104" i="2"/>
  <c r="C103" i="2"/>
  <c r="AD103" i="2"/>
  <c r="B102" i="2"/>
  <c r="C101" i="2"/>
  <c r="D100" i="2"/>
  <c r="C100" i="2"/>
  <c r="O100" i="2"/>
  <c r="C99" i="2"/>
  <c r="I98" i="2"/>
  <c r="B98" i="2"/>
  <c r="D97" i="2"/>
  <c r="AD96" i="2"/>
  <c r="D96" i="2"/>
  <c r="I96" i="2"/>
  <c r="D95" i="2"/>
  <c r="C93" i="2"/>
  <c r="E93" i="2"/>
  <c r="I93" i="2"/>
  <c r="E92" i="2"/>
  <c r="E90" i="2"/>
  <c r="AD90" i="2"/>
  <c r="C90" i="2"/>
  <c r="O90" i="2"/>
  <c r="D89" i="2"/>
  <c r="AD89" i="2"/>
  <c r="B88" i="2"/>
  <c r="AD88" i="2"/>
  <c r="E87" i="2"/>
  <c r="AD87" i="2"/>
  <c r="C87" i="2"/>
  <c r="I87" i="2"/>
  <c r="E84" i="2"/>
  <c r="O84" i="2"/>
  <c r="AD84" i="2"/>
  <c r="D84" i="2"/>
  <c r="E85" i="2"/>
  <c r="C82" i="2"/>
  <c r="D82" i="2"/>
  <c r="E82" i="2"/>
  <c r="E83" i="2"/>
  <c r="D81" i="2"/>
  <c r="D80" i="2"/>
  <c r="AD78" i="2"/>
  <c r="E78" i="2"/>
  <c r="O78" i="2"/>
  <c r="B79" i="2"/>
  <c r="I79" i="2"/>
  <c r="B78" i="2"/>
  <c r="C79" i="2"/>
  <c r="E77" i="2"/>
  <c r="B72" i="2"/>
  <c r="B71" i="2"/>
  <c r="I70" i="2"/>
  <c r="I67" i="2"/>
  <c r="B67" i="2"/>
  <c r="B65" i="2"/>
  <c r="I65" i="2"/>
  <c r="D65" i="2"/>
  <c r="AD63" i="2"/>
  <c r="C63" i="2"/>
  <c r="B64" i="2"/>
  <c r="E63" i="2"/>
  <c r="I63" i="2"/>
  <c r="E64" i="2"/>
  <c r="D63" i="2"/>
  <c r="D64" i="2"/>
  <c r="I64" i="2"/>
  <c r="B63" i="2"/>
  <c r="C64" i="2"/>
  <c r="D54" i="2"/>
  <c r="O54" i="2"/>
  <c r="C54" i="2"/>
  <c r="E54" i="2"/>
  <c r="D55" i="2"/>
  <c r="AE48" i="2"/>
  <c r="C45" i="2"/>
  <c r="I45" i="2"/>
  <c r="B45" i="2"/>
  <c r="O45" i="2"/>
  <c r="AD45" i="2"/>
  <c r="AE45" i="2" s="1"/>
  <c r="E61" i="2"/>
  <c r="E62" i="2"/>
  <c r="C61" i="2"/>
  <c r="C62" i="2"/>
  <c r="I62" i="2"/>
  <c r="C55" i="2"/>
  <c r="E56" i="2"/>
  <c r="AD55" i="2"/>
  <c r="B56" i="2"/>
  <c r="I56" i="2"/>
  <c r="B85" i="2"/>
  <c r="O85" i="2"/>
  <c r="D86" i="2"/>
  <c r="I86" i="2"/>
  <c r="AD83" i="2"/>
  <c r="AE83" i="2" s="1"/>
  <c r="C83" i="2"/>
  <c r="I83" i="2"/>
  <c r="C60" i="2"/>
  <c r="I60" i="2"/>
  <c r="D45" i="2"/>
  <c r="P42" i="2"/>
  <c r="E18" i="2"/>
  <c r="O18" i="2"/>
  <c r="I18" i="2"/>
  <c r="B18" i="2"/>
  <c r="AD18" i="2"/>
  <c r="C18" i="2"/>
  <c r="B28" i="2"/>
  <c r="AD28" i="2"/>
  <c r="E28" i="2"/>
  <c r="D28" i="2"/>
  <c r="I28" i="2"/>
  <c r="C28" i="2"/>
  <c r="O28" i="2"/>
  <c r="P28" i="2" s="1"/>
  <c r="AD31" i="2"/>
  <c r="B31" i="2"/>
  <c r="D31" i="2"/>
  <c r="E32" i="2"/>
  <c r="D32" i="2"/>
  <c r="C31" i="2"/>
  <c r="O31" i="2"/>
  <c r="I31" i="2"/>
  <c r="C32" i="2"/>
  <c r="AD37" i="2"/>
  <c r="AE38" i="2" s="1"/>
  <c r="D37" i="2"/>
  <c r="O37" i="2"/>
  <c r="E38" i="2"/>
  <c r="C37" i="2"/>
  <c r="I37" i="2"/>
  <c r="B37" i="2"/>
  <c r="D38" i="2"/>
  <c r="B38" i="2"/>
  <c r="AD73" i="2"/>
  <c r="C73" i="2"/>
  <c r="E74" i="2"/>
  <c r="AD59" i="2"/>
  <c r="C59" i="2"/>
  <c r="O59" i="2"/>
  <c r="E53" i="2"/>
  <c r="I53" i="2"/>
  <c r="E44" i="2"/>
  <c r="O44" i="2"/>
  <c r="I44" i="2"/>
  <c r="D44" i="2"/>
  <c r="C29" i="2"/>
  <c r="C9" i="2"/>
  <c r="O9" i="2"/>
  <c r="P9" i="2" s="1"/>
  <c r="AD9" i="2"/>
  <c r="AE9" i="2" s="1"/>
  <c r="B9" i="2"/>
  <c r="F8" i="2"/>
  <c r="D9" i="2"/>
  <c r="B10" i="2"/>
  <c r="I9" i="2"/>
  <c r="AD13" i="2"/>
  <c r="O13" i="2"/>
  <c r="P13" i="2" s="1"/>
  <c r="D13" i="2"/>
  <c r="D14" i="2"/>
  <c r="E13" i="2"/>
  <c r="I14" i="2"/>
  <c r="E14" i="2"/>
  <c r="C13" i="2"/>
  <c r="B13" i="2"/>
  <c r="C14" i="2"/>
  <c r="AD19" i="2"/>
  <c r="O19" i="2"/>
  <c r="B19" i="2"/>
  <c r="E19" i="2"/>
  <c r="I19" i="2"/>
  <c r="D19" i="2"/>
  <c r="C19" i="2"/>
  <c r="AD29" i="2"/>
  <c r="B29" i="2"/>
  <c r="O29" i="2"/>
  <c r="E29" i="2"/>
  <c r="D30" i="2"/>
  <c r="D29" i="2"/>
  <c r="C30" i="2"/>
  <c r="I29" i="2"/>
  <c r="I30" i="2"/>
  <c r="B30" i="2"/>
  <c r="D34" i="2"/>
  <c r="B34" i="2"/>
  <c r="I34" i="2"/>
  <c r="E34" i="2"/>
  <c r="E35" i="2"/>
  <c r="O34" i="2"/>
  <c r="E40" i="2"/>
  <c r="D40" i="2"/>
  <c r="I40" i="2"/>
  <c r="C40" i="2"/>
  <c r="B41" i="2"/>
  <c r="E41" i="2"/>
  <c r="B42" i="2"/>
  <c r="C41" i="2"/>
  <c r="I41" i="2"/>
  <c r="D42" i="2"/>
  <c r="AD41" i="2"/>
  <c r="AD11" i="2"/>
  <c r="D11" i="2"/>
  <c r="E11" i="2"/>
  <c r="B11" i="2"/>
  <c r="B12" i="2"/>
  <c r="C11" i="2"/>
  <c r="O11" i="2"/>
  <c r="D24" i="2"/>
  <c r="I24" i="2"/>
  <c r="O24" i="2"/>
  <c r="E25" i="2"/>
  <c r="AD24" i="2"/>
  <c r="AD27" i="2"/>
  <c r="AE27" i="2" s="1"/>
  <c r="C27" i="2"/>
  <c r="E27" i="2"/>
  <c r="I27" i="2"/>
  <c r="D27" i="2"/>
  <c r="B27" i="2"/>
  <c r="E36" i="2"/>
  <c r="AD36" i="2"/>
  <c r="O36" i="2"/>
  <c r="I36" i="2"/>
  <c r="B36" i="2"/>
  <c r="AD39" i="2"/>
  <c r="AE39" i="2" s="1"/>
  <c r="B39" i="2"/>
  <c r="I39" i="2"/>
  <c r="O39" i="2"/>
  <c r="D39" i="2"/>
  <c r="C39" i="2"/>
  <c r="E10" i="2"/>
  <c r="C10" i="2"/>
  <c r="I10" i="2"/>
  <c r="AD10" i="2"/>
  <c r="O16" i="2"/>
  <c r="C16" i="2"/>
  <c r="I16" i="2"/>
  <c r="D16" i="2"/>
  <c r="E17" i="2"/>
  <c r="D20" i="2"/>
  <c r="AD20" i="2"/>
  <c r="B20" i="2"/>
  <c r="C20" i="2"/>
  <c r="O20" i="2"/>
  <c r="AD23" i="2"/>
  <c r="O23" i="2"/>
  <c r="B23" i="2"/>
  <c r="C23" i="2"/>
  <c r="I23" i="2"/>
  <c r="E12" i="2"/>
  <c r="AD12" i="2"/>
  <c r="AE12" i="2" s="1"/>
  <c r="C12" i="2"/>
  <c r="I12" i="2"/>
  <c r="AD15" i="2"/>
  <c r="AE15" i="2" s="1"/>
  <c r="D15" i="2"/>
  <c r="C15" i="2"/>
  <c r="O15" i="2"/>
  <c r="AD21" i="2"/>
  <c r="B21" i="2"/>
  <c r="O21" i="2"/>
  <c r="C21" i="2"/>
  <c r="E26" i="2"/>
  <c r="C26" i="2"/>
  <c r="B32" i="2"/>
  <c r="O32" i="2"/>
  <c r="D33" i="2"/>
  <c r="AD35" i="2"/>
  <c r="C35" i="2"/>
  <c r="O35" i="2"/>
  <c r="B35" i="2"/>
  <c r="I35" i="2"/>
  <c r="C42" i="2"/>
  <c r="I42" i="2"/>
  <c r="B14" i="2"/>
  <c r="O14" i="2"/>
  <c r="AD17" i="2"/>
  <c r="D17" i="2"/>
  <c r="B22" i="2"/>
  <c r="AD25" i="2"/>
  <c r="B25" i="2"/>
  <c r="E30" i="2"/>
  <c r="AD33" i="2"/>
  <c r="AE33" i="2" s="1"/>
  <c r="E33" i="2"/>
  <c r="C38" i="2"/>
  <c r="X39" i="2" l="1"/>
  <c r="AN71" i="2"/>
  <c r="Y19" i="2"/>
  <c r="Z19" i="2" s="1"/>
  <c r="Y29" i="2"/>
  <c r="J51" i="2"/>
  <c r="AC28" i="2"/>
  <c r="AJ61" i="2"/>
  <c r="AL61" i="2" s="1"/>
  <c r="AG61" i="2" s="1"/>
  <c r="AI61" i="2" s="1"/>
  <c r="X67" i="2"/>
  <c r="Z67" i="2" s="1"/>
  <c r="Y20" i="2"/>
  <c r="AN97" i="2"/>
  <c r="AC36" i="2"/>
  <c r="Y71" i="2"/>
  <c r="Z71" i="2" s="1"/>
  <c r="Y17" i="2"/>
  <c r="Z17" i="2" s="1"/>
  <c r="AN98" i="2"/>
  <c r="X23" i="2"/>
  <c r="Z23" i="2" s="1"/>
  <c r="N59" i="2"/>
  <c r="U59" i="2" s="1"/>
  <c r="Y82" i="2"/>
  <c r="Y40" i="2"/>
  <c r="N88" i="2"/>
  <c r="Y63" i="2"/>
  <c r="Z39" i="2"/>
  <c r="Y62" i="2"/>
  <c r="Z62" i="2" s="1"/>
  <c r="X57" i="2"/>
  <c r="Z57" i="2" s="1"/>
  <c r="AC101" i="2"/>
  <c r="AK101" i="2" s="1"/>
  <c r="Y76" i="2"/>
  <c r="Z76" i="2" s="1"/>
  <c r="X70" i="2"/>
  <c r="Y15" i="2"/>
  <c r="Z15" i="2" s="1"/>
  <c r="Y103" i="2"/>
  <c r="Z103" i="2" s="1"/>
  <c r="K59" i="2"/>
  <c r="X73" i="2"/>
  <c r="Z73" i="2" s="1"/>
  <c r="AC53" i="2"/>
  <c r="AK53" i="2" s="1"/>
  <c r="AJ62" i="2"/>
  <c r="AL62" i="2" s="1"/>
  <c r="AC74" i="2"/>
  <c r="AJ74" i="2" s="1"/>
  <c r="AC65" i="2"/>
  <c r="AK65" i="2" s="1"/>
  <c r="AC50" i="2"/>
  <c r="AC54" i="2"/>
  <c r="AC63" i="2"/>
  <c r="AK63" i="2" s="1"/>
  <c r="N34" i="2"/>
  <c r="U34" i="2" s="1"/>
  <c r="Y60" i="2"/>
  <c r="Z60" i="2" s="1"/>
  <c r="AC24" i="2"/>
  <c r="AK24" i="2" s="1"/>
  <c r="X65" i="2"/>
  <c r="Z65" i="2" s="1"/>
  <c r="Y53" i="2"/>
  <c r="Z53" i="2" s="1"/>
  <c r="X90" i="2"/>
  <c r="U55" i="2"/>
  <c r="W55" i="2" s="1"/>
  <c r="Y42" i="2"/>
  <c r="X42" i="2"/>
  <c r="Y108" i="2"/>
  <c r="X108" i="2"/>
  <c r="U51" i="2"/>
  <c r="W51" i="2" s="1"/>
  <c r="AF61" i="2"/>
  <c r="AN51" i="2"/>
  <c r="AC25" i="2"/>
  <c r="U95" i="2"/>
  <c r="W95" i="2" s="1"/>
  <c r="R95" i="2" s="1"/>
  <c r="T95" i="2" s="1"/>
  <c r="AN102" i="2"/>
  <c r="X97" i="2"/>
  <c r="Z97" i="2" s="1"/>
  <c r="AC67" i="2"/>
  <c r="AK67" i="2" s="1"/>
  <c r="AC87" i="2"/>
  <c r="AJ87" i="2" s="1"/>
  <c r="N47" i="2"/>
  <c r="AJ95" i="2"/>
  <c r="AL95" i="2" s="1"/>
  <c r="AN55" i="2"/>
  <c r="Y66" i="2"/>
  <c r="Z66" i="2" s="1"/>
  <c r="Y85" i="2"/>
  <c r="Z85" i="2" s="1"/>
  <c r="AC82" i="2"/>
  <c r="AJ82" i="2" s="1"/>
  <c r="Z86" i="2"/>
  <c r="X79" i="2"/>
  <c r="Y79" i="2"/>
  <c r="Q32" i="3"/>
  <c r="AO6" i="2"/>
  <c r="AO5" i="2" s="1"/>
  <c r="AO19" i="2" s="1"/>
  <c r="AP19" i="2" s="1"/>
  <c r="V106" i="2"/>
  <c r="W106" i="2" s="1"/>
  <c r="Z74" i="2"/>
  <c r="V89" i="2"/>
  <c r="W89" i="2" s="1"/>
  <c r="Z82" i="2"/>
  <c r="V57" i="2"/>
  <c r="W57" i="2" s="1"/>
  <c r="R57" i="2" s="1"/>
  <c r="T57" i="2" s="1"/>
  <c r="AK36" i="2"/>
  <c r="AJ36" i="2"/>
  <c r="AL36" i="2" s="1"/>
  <c r="AC18" i="2"/>
  <c r="AK18" i="2" s="1"/>
  <c r="K54" i="2"/>
  <c r="AF95" i="2"/>
  <c r="AK20" i="2"/>
  <c r="AL20" i="2" s="1"/>
  <c r="AK38" i="2"/>
  <c r="AL38" i="2" s="1"/>
  <c r="AG38" i="2" s="1"/>
  <c r="AI38" i="2" s="1"/>
  <c r="AC64" i="2"/>
  <c r="W86" i="2"/>
  <c r="AN61" i="2"/>
  <c r="N65" i="2"/>
  <c r="AN65" i="2"/>
  <c r="Z64" i="2"/>
  <c r="Q87" i="2"/>
  <c r="AC19" i="2"/>
  <c r="AJ19" i="2" s="1"/>
  <c r="AC48" i="2"/>
  <c r="AF48" i="2" s="1"/>
  <c r="AN57" i="2"/>
  <c r="N54" i="2"/>
  <c r="U54" i="2" s="1"/>
  <c r="AC83" i="2"/>
  <c r="AK83" i="2" s="1"/>
  <c r="AC103" i="2"/>
  <c r="AJ103" i="2" s="1"/>
  <c r="AC66" i="2"/>
  <c r="AK66" i="2" s="1"/>
  <c r="AC70" i="2"/>
  <c r="AJ70" i="2" s="1"/>
  <c r="AC106" i="2"/>
  <c r="AJ106" i="2" s="1"/>
  <c r="AC85" i="2"/>
  <c r="AC98" i="2"/>
  <c r="AK98" i="2" s="1"/>
  <c r="W66" i="2"/>
  <c r="AC91" i="2"/>
  <c r="Z13" i="2"/>
  <c r="N64" i="2"/>
  <c r="Q64" i="2" s="1"/>
  <c r="AN64" i="2"/>
  <c r="N62" i="2"/>
  <c r="AN62" i="2"/>
  <c r="AN70" i="2"/>
  <c r="N70" i="2"/>
  <c r="AN94" i="2"/>
  <c r="N94" i="2"/>
  <c r="AJ60" i="2"/>
  <c r="AK60" i="2"/>
  <c r="AN90" i="2"/>
  <c r="N90" i="2"/>
  <c r="N60" i="2"/>
  <c r="AN60" i="2"/>
  <c r="AK39" i="2"/>
  <c r="AL39" i="2" s="1"/>
  <c r="AG39" i="2" s="1"/>
  <c r="AI39" i="2" s="1"/>
  <c r="AN82" i="2"/>
  <c r="Z70" i="2"/>
  <c r="AL96" i="2"/>
  <c r="AN77" i="2"/>
  <c r="N77" i="2"/>
  <c r="X91" i="2"/>
  <c r="Y91" i="2"/>
  <c r="N63" i="2"/>
  <c r="AN63" i="2"/>
  <c r="AJ71" i="2"/>
  <c r="AK71" i="2"/>
  <c r="X94" i="2"/>
  <c r="Y94" i="2"/>
  <c r="N53" i="2"/>
  <c r="Q53" i="2" s="1"/>
  <c r="AN53" i="2"/>
  <c r="X59" i="2"/>
  <c r="Y59" i="2"/>
  <c r="U61" i="2"/>
  <c r="V61" i="2"/>
  <c r="J15" i="2"/>
  <c r="K49" i="2"/>
  <c r="J52" i="2"/>
  <c r="U19" i="2"/>
  <c r="W19" i="2" s="1"/>
  <c r="AL32" i="2"/>
  <c r="V52" i="2"/>
  <c r="W52" i="2" s="1"/>
  <c r="R52" i="2" s="1"/>
  <c r="T52" i="2" s="1"/>
  <c r="AC92" i="2"/>
  <c r="AK92" i="2" s="1"/>
  <c r="AC86" i="2"/>
  <c r="AK86" i="2" s="1"/>
  <c r="AN41" i="2"/>
  <c r="N41" i="2"/>
  <c r="N56" i="2"/>
  <c r="AN56" i="2"/>
  <c r="U87" i="2"/>
  <c r="V87" i="2"/>
  <c r="X55" i="2"/>
  <c r="Y55" i="2"/>
  <c r="Y88" i="2"/>
  <c r="X88" i="2"/>
  <c r="AC90" i="2"/>
  <c r="AC55" i="2"/>
  <c r="X87" i="2"/>
  <c r="Y87" i="2"/>
  <c r="J103" i="2"/>
  <c r="Z36" i="2"/>
  <c r="Z29" i="2"/>
  <c r="V43" i="2"/>
  <c r="W43" i="2" s="1"/>
  <c r="R43" i="2" s="1"/>
  <c r="T43" i="2" s="1"/>
  <c r="AK56" i="2"/>
  <c r="AL56" i="2" s="1"/>
  <c r="Z9" i="2"/>
  <c r="AN52" i="2"/>
  <c r="Z40" i="2"/>
  <c r="AC46" i="2"/>
  <c r="AK46" i="2" s="1"/>
  <c r="AL42" i="2"/>
  <c r="Z63" i="2"/>
  <c r="AJ104" i="2"/>
  <c r="AL104" i="2" s="1"/>
  <c r="AC52" i="2"/>
  <c r="V74" i="2"/>
  <c r="U74" i="2"/>
  <c r="AC89" i="2"/>
  <c r="AC88" i="2"/>
  <c r="Y106" i="2"/>
  <c r="X106" i="2"/>
  <c r="Y48" i="2"/>
  <c r="X48" i="2"/>
  <c r="X61" i="2"/>
  <c r="Y61" i="2"/>
  <c r="U91" i="2"/>
  <c r="V91" i="2"/>
  <c r="Y98" i="2"/>
  <c r="X98" i="2"/>
  <c r="Z90" i="2"/>
  <c r="N48" i="2"/>
  <c r="AN48" i="2"/>
  <c r="AJ28" i="2"/>
  <c r="AK28" i="2"/>
  <c r="AK16" i="2"/>
  <c r="AJ16" i="2"/>
  <c r="N12" i="2"/>
  <c r="AN12" i="2"/>
  <c r="X45" i="2"/>
  <c r="Y45" i="2"/>
  <c r="X49" i="2"/>
  <c r="Y49" i="2"/>
  <c r="AN18" i="2"/>
  <c r="N18" i="2"/>
  <c r="AK34" i="2"/>
  <c r="AJ34" i="2"/>
  <c r="AC35" i="2"/>
  <c r="V47" i="2"/>
  <c r="U47" i="2"/>
  <c r="AK48" i="2"/>
  <c r="AN81" i="2"/>
  <c r="N81" i="2"/>
  <c r="N38" i="2"/>
  <c r="AN38" i="2"/>
  <c r="AN31" i="2"/>
  <c r="N31" i="2"/>
  <c r="N26" i="2"/>
  <c r="Q26" i="2" s="1"/>
  <c r="AN26" i="2"/>
  <c r="AN22" i="2"/>
  <c r="N22" i="2"/>
  <c r="X14" i="2"/>
  <c r="Y14" i="2"/>
  <c r="N11" i="2"/>
  <c r="AN11" i="2"/>
  <c r="AN36" i="2"/>
  <c r="N36" i="2"/>
  <c r="AC17" i="2"/>
  <c r="AJ57" i="2"/>
  <c r="AK57" i="2"/>
  <c r="AN33" i="2"/>
  <c r="N33" i="2"/>
  <c r="AJ25" i="2"/>
  <c r="AK25" i="2"/>
  <c r="Y41" i="2"/>
  <c r="X41" i="2"/>
  <c r="J11" i="2"/>
  <c r="K11" i="2"/>
  <c r="K33" i="2"/>
  <c r="K38" i="2"/>
  <c r="AC40" i="2"/>
  <c r="AC41" i="2"/>
  <c r="Y32" i="2"/>
  <c r="X32" i="2"/>
  <c r="X12" i="2"/>
  <c r="Y12" i="2"/>
  <c r="U20" i="2"/>
  <c r="V20" i="2"/>
  <c r="V34" i="2"/>
  <c r="AK27" i="2"/>
  <c r="AJ27" i="2"/>
  <c r="N49" i="2"/>
  <c r="AN49" i="2"/>
  <c r="AN17" i="2"/>
  <c r="N17" i="2"/>
  <c r="Y30" i="2"/>
  <c r="X30" i="2"/>
  <c r="Y24" i="2"/>
  <c r="X24" i="2"/>
  <c r="X44" i="2"/>
  <c r="Y44" i="2"/>
  <c r="AN69" i="2"/>
  <c r="N69" i="2"/>
  <c r="Y77" i="2"/>
  <c r="X77" i="2"/>
  <c r="AC93" i="2"/>
  <c r="AC94" i="2"/>
  <c r="M109" i="2"/>
  <c r="AU109" i="2"/>
  <c r="AI109" i="2"/>
  <c r="K109" i="2"/>
  <c r="F110" i="2"/>
  <c r="T109" i="2"/>
  <c r="AB109" i="2"/>
  <c r="H109" i="2"/>
  <c r="Y34" i="2"/>
  <c r="X34" i="2"/>
  <c r="X26" i="2"/>
  <c r="Y26" i="2"/>
  <c r="AN23" i="2"/>
  <c r="N23" i="2"/>
  <c r="AC14" i="2"/>
  <c r="AC15" i="2"/>
  <c r="AN10" i="2"/>
  <c r="N10" i="2"/>
  <c r="AJ33" i="2"/>
  <c r="AK33" i="2"/>
  <c r="X33" i="2"/>
  <c r="Y33" i="2"/>
  <c r="N25" i="2"/>
  <c r="AN25" i="2"/>
  <c r="N13" i="2"/>
  <c r="Q13" i="2" s="1"/>
  <c r="AN13" i="2"/>
  <c r="V30" i="2"/>
  <c r="U30" i="2"/>
  <c r="Y58" i="2"/>
  <c r="X58" i="2"/>
  <c r="V97" i="2"/>
  <c r="U97" i="2"/>
  <c r="Y104" i="2"/>
  <c r="X104" i="2"/>
  <c r="AJ75" i="2"/>
  <c r="AK75" i="2"/>
  <c r="V82" i="2"/>
  <c r="U82" i="2"/>
  <c r="AN84" i="2"/>
  <c r="AO84" i="2" s="1"/>
  <c r="AP84" i="2" s="1"/>
  <c r="AR84" i="2" s="1"/>
  <c r="N84" i="2"/>
  <c r="X75" i="2"/>
  <c r="Y75" i="2"/>
  <c r="AJ77" i="2"/>
  <c r="AK77" i="2"/>
  <c r="Y92" i="2"/>
  <c r="X92" i="2"/>
  <c r="U107" i="2"/>
  <c r="V107" i="2"/>
  <c r="Y72" i="2"/>
  <c r="X72" i="2"/>
  <c r="AC76" i="2"/>
  <c r="V93" i="2"/>
  <c r="U93" i="2"/>
  <c r="Y47" i="2"/>
  <c r="X47" i="2"/>
  <c r="AC58" i="2"/>
  <c r="AC59" i="2"/>
  <c r="Z81" i="2"/>
  <c r="Y96" i="2"/>
  <c r="X96" i="2"/>
  <c r="AC102" i="2"/>
  <c r="AF102" i="2" s="1"/>
  <c r="AN104" i="2"/>
  <c r="N104" i="2"/>
  <c r="AN78" i="2"/>
  <c r="N78" i="2"/>
  <c r="X84" i="2"/>
  <c r="Y84" i="2"/>
  <c r="AK97" i="2"/>
  <c r="AJ97" i="2"/>
  <c r="N108" i="2"/>
  <c r="Q108" i="2" s="1"/>
  <c r="AN108" i="2"/>
  <c r="N75" i="2"/>
  <c r="AN75" i="2"/>
  <c r="N83" i="2"/>
  <c r="AN83" i="2"/>
  <c r="Y80" i="2"/>
  <c r="X80" i="2"/>
  <c r="Y107" i="2"/>
  <c r="X107" i="2"/>
  <c r="X101" i="2"/>
  <c r="Y101" i="2"/>
  <c r="N99" i="2"/>
  <c r="Q99" i="2" s="1"/>
  <c r="AN99" i="2"/>
  <c r="V102" i="2"/>
  <c r="U102" i="2"/>
  <c r="AN73" i="2"/>
  <c r="N73" i="2"/>
  <c r="K104" i="2"/>
  <c r="K108" i="2"/>
  <c r="AF57" i="2"/>
  <c r="K48" i="2"/>
  <c r="AK51" i="2"/>
  <c r="AJ51" i="2"/>
  <c r="N28" i="2"/>
  <c r="Q28" i="2" s="1"/>
  <c r="AN28" i="2"/>
  <c r="Y16" i="2"/>
  <c r="X16" i="2"/>
  <c r="AJ12" i="2"/>
  <c r="AK12" i="2"/>
  <c r="AN45" i="2"/>
  <c r="N45" i="2"/>
  <c r="AN39" i="2"/>
  <c r="N39" i="2"/>
  <c r="AC21" i="2"/>
  <c r="AC22" i="2"/>
  <c r="AN50" i="2"/>
  <c r="N50" i="2"/>
  <c r="AJ63" i="2"/>
  <c r="Y100" i="2"/>
  <c r="X100" i="2"/>
  <c r="Y38" i="2"/>
  <c r="X38" i="2"/>
  <c r="AC30" i="2"/>
  <c r="AC31" i="2"/>
  <c r="N27" i="2"/>
  <c r="AN27" i="2"/>
  <c r="AN15" i="2"/>
  <c r="N15" i="2"/>
  <c r="AK10" i="2"/>
  <c r="AJ10" i="2"/>
  <c r="X43" i="2"/>
  <c r="Y43" i="2"/>
  <c r="AN21" i="2"/>
  <c r="N21" i="2"/>
  <c r="V98" i="2"/>
  <c r="U98" i="2"/>
  <c r="AC29" i="2"/>
  <c r="Y25" i="2"/>
  <c r="X25" i="2"/>
  <c r="AN42" i="2"/>
  <c r="N42" i="2"/>
  <c r="Q42" i="2" s="1"/>
  <c r="AK47" i="2"/>
  <c r="AJ47" i="2"/>
  <c r="AJ50" i="2"/>
  <c r="AK50" i="2"/>
  <c r="AN58" i="2"/>
  <c r="N58" i="2"/>
  <c r="X78" i="2"/>
  <c r="Y78" i="2"/>
  <c r="AN96" i="2"/>
  <c r="N96" i="2"/>
  <c r="Q96" i="2" s="1"/>
  <c r="X102" i="2"/>
  <c r="Y102" i="2"/>
  <c r="AK105" i="2"/>
  <c r="AJ105" i="2"/>
  <c r="U67" i="2"/>
  <c r="V67" i="2"/>
  <c r="AK78" i="2"/>
  <c r="AJ78" i="2"/>
  <c r="N85" i="2"/>
  <c r="AN85" i="2"/>
  <c r="AC81" i="2"/>
  <c r="AC80" i="2"/>
  <c r="AN92" i="2"/>
  <c r="N92" i="2"/>
  <c r="Z95" i="2"/>
  <c r="X68" i="2"/>
  <c r="Y68" i="2"/>
  <c r="AC107" i="2"/>
  <c r="AC108" i="2"/>
  <c r="AK85" i="2"/>
  <c r="AJ85" i="2"/>
  <c r="AC99" i="2"/>
  <c r="AF99" i="2" s="1"/>
  <c r="AC100" i="2"/>
  <c r="AC68" i="2"/>
  <c r="AF68" i="2" s="1"/>
  <c r="AC69" i="2"/>
  <c r="AF69" i="2" s="1"/>
  <c r="AC72" i="2"/>
  <c r="AC73" i="2"/>
  <c r="K17" i="2"/>
  <c r="J81" i="2"/>
  <c r="J99" i="2"/>
  <c r="K13" i="2"/>
  <c r="N40" i="2"/>
  <c r="AN40" i="2"/>
  <c r="AO40" i="2" s="1"/>
  <c r="AP40" i="2" s="1"/>
  <c r="AR40" i="2" s="1"/>
  <c r="N32" i="2"/>
  <c r="AN32" i="2"/>
  <c r="N16" i="2"/>
  <c r="AN16" i="2"/>
  <c r="AJ45" i="2"/>
  <c r="AK45" i="2"/>
  <c r="AC11" i="2"/>
  <c r="Z20" i="2"/>
  <c r="N24" i="2"/>
  <c r="AN24" i="2"/>
  <c r="Z31" i="2"/>
  <c r="Y37" i="2"/>
  <c r="X37" i="2"/>
  <c r="AN44" i="2"/>
  <c r="N44" i="2"/>
  <c r="X50" i="2"/>
  <c r="Y50" i="2"/>
  <c r="X69" i="2"/>
  <c r="Y69" i="2"/>
  <c r="N76" i="2"/>
  <c r="AN76" i="2"/>
  <c r="X93" i="2"/>
  <c r="Y93" i="2"/>
  <c r="N103" i="2"/>
  <c r="Q103" i="2" s="1"/>
  <c r="AN103" i="2"/>
  <c r="N35" i="2"/>
  <c r="AN35" i="2"/>
  <c r="AC26" i="2"/>
  <c r="Y22" i="2"/>
  <c r="X22" i="2"/>
  <c r="AN14" i="2"/>
  <c r="N14" i="2"/>
  <c r="X10" i="2"/>
  <c r="Y10" i="2"/>
  <c r="AC43" i="2"/>
  <c r="AC44" i="2"/>
  <c r="AK23" i="2"/>
  <c r="AJ23" i="2"/>
  <c r="AC79" i="2"/>
  <c r="N37" i="2"/>
  <c r="AN37" i="2"/>
  <c r="N29" i="2"/>
  <c r="AN29" i="2"/>
  <c r="AC13" i="2"/>
  <c r="AK37" i="2"/>
  <c r="AJ37" i="2"/>
  <c r="N46" i="2"/>
  <c r="AN46" i="2"/>
  <c r="AO46" i="2" s="1"/>
  <c r="AP46" i="2" s="1"/>
  <c r="AR46" i="2" s="1"/>
  <c r="AK49" i="2"/>
  <c r="AJ49" i="2"/>
  <c r="N79" i="2"/>
  <c r="AN79" i="2"/>
  <c r="U88" i="2"/>
  <c r="V88" i="2"/>
  <c r="AN105" i="2"/>
  <c r="N105" i="2"/>
  <c r="AC84" i="2"/>
  <c r="Y83" i="2"/>
  <c r="X83" i="2"/>
  <c r="AN80" i="2"/>
  <c r="N80" i="2"/>
  <c r="Q80" i="2" s="1"/>
  <c r="N100" i="2"/>
  <c r="AN100" i="2"/>
  <c r="N101" i="2"/>
  <c r="AN101" i="2"/>
  <c r="X99" i="2"/>
  <c r="Y99" i="2"/>
  <c r="AN68" i="2"/>
  <c r="N68" i="2"/>
  <c r="N72" i="2"/>
  <c r="AN72" i="2"/>
  <c r="P58" i="2"/>
  <c r="AE108" i="2"/>
  <c r="AE75" i="2"/>
  <c r="AF75" i="2" s="1"/>
  <c r="AE96" i="2"/>
  <c r="AG96" i="2" s="1"/>
  <c r="AI96" i="2" s="1"/>
  <c r="P94" i="2"/>
  <c r="P56" i="2"/>
  <c r="J49" i="2"/>
  <c r="J50" i="2"/>
  <c r="AE51" i="2"/>
  <c r="AF51" i="2" s="1"/>
  <c r="Q95" i="2"/>
  <c r="AE80" i="2"/>
  <c r="AE98" i="2"/>
  <c r="J55" i="2"/>
  <c r="P48" i="2"/>
  <c r="AE35" i="2"/>
  <c r="J32" i="2"/>
  <c r="AE72" i="2"/>
  <c r="K55" i="2"/>
  <c r="K50" i="2"/>
  <c r="J38" i="2"/>
  <c r="P39" i="2"/>
  <c r="P90" i="2"/>
  <c r="AG95" i="2"/>
  <c r="AI95" i="2" s="1"/>
  <c r="K74" i="2"/>
  <c r="J107" i="2"/>
  <c r="K22" i="2"/>
  <c r="J21" i="2"/>
  <c r="J69" i="2"/>
  <c r="P92" i="2"/>
  <c r="K51" i="2"/>
  <c r="J22" i="2"/>
  <c r="P49" i="2"/>
  <c r="J74" i="2"/>
  <c r="K107" i="2"/>
  <c r="K69" i="2"/>
  <c r="P105" i="2"/>
  <c r="J105" i="2"/>
  <c r="P60" i="2"/>
  <c r="AE86" i="2"/>
  <c r="P34" i="2"/>
  <c r="K105" i="2"/>
  <c r="P77" i="2"/>
  <c r="P68" i="2"/>
  <c r="K21" i="2"/>
  <c r="AE31" i="2"/>
  <c r="K57" i="2"/>
  <c r="J57" i="2"/>
  <c r="P31" i="2"/>
  <c r="B109" i="2"/>
  <c r="J78" i="2"/>
  <c r="K99" i="2"/>
  <c r="K75" i="2"/>
  <c r="K103" i="2"/>
  <c r="AD109" i="2"/>
  <c r="AE109" i="2" s="1"/>
  <c r="J48" i="2"/>
  <c r="J104" i="2"/>
  <c r="J33" i="2"/>
  <c r="P69" i="2"/>
  <c r="P18" i="2"/>
  <c r="K15" i="2"/>
  <c r="P66" i="2"/>
  <c r="AE16" i="2"/>
  <c r="K52" i="2"/>
  <c r="P62" i="2"/>
  <c r="AE76" i="2"/>
  <c r="J20" i="2"/>
  <c r="P65" i="2"/>
  <c r="AE62" i="2"/>
  <c r="P23" i="2"/>
  <c r="K84" i="2"/>
  <c r="K20" i="2"/>
  <c r="P75" i="2"/>
  <c r="AE22" i="2"/>
  <c r="K32" i="2"/>
  <c r="P84" i="2"/>
  <c r="J84" i="2"/>
  <c r="J108" i="2"/>
  <c r="J13" i="2"/>
  <c r="AE92" i="2"/>
  <c r="P50" i="2"/>
  <c r="P30" i="2"/>
  <c r="Q30" i="2" s="1"/>
  <c r="Q52" i="2"/>
  <c r="P14" i="2"/>
  <c r="AE81" i="2"/>
  <c r="Q98" i="2"/>
  <c r="J26" i="2"/>
  <c r="J54" i="2"/>
  <c r="AE63" i="2"/>
  <c r="C109" i="2"/>
  <c r="P93" i="2"/>
  <c r="K71" i="2"/>
  <c r="AF54" i="2"/>
  <c r="AE101" i="2"/>
  <c r="K26" i="2"/>
  <c r="P27" i="2"/>
  <c r="AE20" i="2"/>
  <c r="P59" i="2"/>
  <c r="AE84" i="2"/>
  <c r="AE88" i="2"/>
  <c r="P100" i="2"/>
  <c r="P72" i="2"/>
  <c r="P97" i="2"/>
  <c r="J71" i="2"/>
  <c r="G110" i="2"/>
  <c r="C110" i="2" s="1"/>
  <c r="P51" i="2"/>
  <c r="P83" i="2"/>
  <c r="P76" i="2"/>
  <c r="AF65" i="2"/>
  <c r="K101" i="2"/>
  <c r="AE36" i="2"/>
  <c r="K25" i="2"/>
  <c r="K76" i="2"/>
  <c r="J76" i="2"/>
  <c r="P32" i="2"/>
  <c r="AE23" i="2"/>
  <c r="P11" i="2"/>
  <c r="K78" i="2"/>
  <c r="AE17" i="2"/>
  <c r="P20" i="2"/>
  <c r="Q20" i="2" s="1"/>
  <c r="J17" i="2"/>
  <c r="AE19" i="2"/>
  <c r="P12" i="2"/>
  <c r="P44" i="2"/>
  <c r="AE59" i="2"/>
  <c r="P37" i="2"/>
  <c r="AE87" i="2"/>
  <c r="O109" i="2"/>
  <c r="P109" i="2" s="1"/>
  <c r="P104" i="2"/>
  <c r="K81" i="2"/>
  <c r="P88" i="2"/>
  <c r="Q88" i="2" s="1"/>
  <c r="E109" i="2"/>
  <c r="J25" i="2"/>
  <c r="D109" i="2"/>
  <c r="AE107" i="2"/>
  <c r="J58" i="2"/>
  <c r="K58" i="2"/>
  <c r="J75" i="2"/>
  <c r="J82" i="2"/>
  <c r="K82" i="2"/>
  <c r="AE50" i="2"/>
  <c r="J91" i="2"/>
  <c r="K91" i="2"/>
  <c r="J102" i="2"/>
  <c r="K102" i="2"/>
  <c r="J85" i="2"/>
  <c r="K85" i="2"/>
  <c r="K100" i="2"/>
  <c r="J100" i="2"/>
  <c r="AF105" i="2"/>
  <c r="AF77" i="2"/>
  <c r="J101" i="2"/>
  <c r="K68" i="2"/>
  <c r="J68" i="2"/>
  <c r="P74" i="2"/>
  <c r="P35" i="2"/>
  <c r="P15" i="2"/>
  <c r="P82" i="2"/>
  <c r="Q82" i="2" s="1"/>
  <c r="AE71" i="2"/>
  <c r="AE70" i="2"/>
  <c r="J59" i="2"/>
  <c r="K61" i="2"/>
  <c r="J61" i="2"/>
  <c r="P61" i="2"/>
  <c r="K42" i="2"/>
  <c r="J42" i="2"/>
  <c r="J23" i="2"/>
  <c r="K23" i="2"/>
  <c r="J10" i="2"/>
  <c r="K10" i="2"/>
  <c r="AE24" i="2"/>
  <c r="AE41" i="2"/>
  <c r="AE42" i="2"/>
  <c r="K19" i="2"/>
  <c r="J19" i="2"/>
  <c r="J60" i="2"/>
  <c r="K60" i="2"/>
  <c r="K87" i="2"/>
  <c r="J87" i="2"/>
  <c r="K77" i="2"/>
  <c r="J77" i="2"/>
  <c r="J88" i="2"/>
  <c r="K88" i="2"/>
  <c r="K47" i="2"/>
  <c r="J47" i="2"/>
  <c r="AE93" i="2"/>
  <c r="P22" i="2"/>
  <c r="P21" i="2"/>
  <c r="K40" i="2"/>
  <c r="J40" i="2"/>
  <c r="AE30" i="2"/>
  <c r="AE29" i="2"/>
  <c r="Q57" i="2"/>
  <c r="J83" i="2"/>
  <c r="K83" i="2"/>
  <c r="J45" i="2"/>
  <c r="K45" i="2"/>
  <c r="P54" i="2"/>
  <c r="P55" i="2"/>
  <c r="K67" i="2"/>
  <c r="J67" i="2"/>
  <c r="AF47" i="2"/>
  <c r="AF100" i="2"/>
  <c r="AE97" i="2"/>
  <c r="P89" i="2"/>
  <c r="P91" i="2"/>
  <c r="AE25" i="2"/>
  <c r="AE26" i="2"/>
  <c r="J39" i="2"/>
  <c r="K39" i="2"/>
  <c r="P24" i="2"/>
  <c r="P25" i="2"/>
  <c r="J41" i="2"/>
  <c r="K41" i="2"/>
  <c r="K29" i="2"/>
  <c r="J29" i="2"/>
  <c r="J14" i="2"/>
  <c r="K14" i="2"/>
  <c r="Q47" i="2"/>
  <c r="AE40" i="2"/>
  <c r="J37" i="2"/>
  <c r="K37" i="2"/>
  <c r="AE28" i="2"/>
  <c r="AE18" i="2"/>
  <c r="AE34" i="2"/>
  <c r="P85" i="2"/>
  <c r="P86" i="2"/>
  <c r="AE55" i="2"/>
  <c r="AE56" i="2"/>
  <c r="AF45" i="2"/>
  <c r="K65" i="2"/>
  <c r="J65" i="2"/>
  <c r="P78" i="2"/>
  <c r="P79" i="2"/>
  <c r="K93" i="2"/>
  <c r="J93" i="2"/>
  <c r="K96" i="2"/>
  <c r="J96" i="2"/>
  <c r="K66" i="2"/>
  <c r="J66" i="2"/>
  <c r="K95" i="2"/>
  <c r="J95" i="2"/>
  <c r="K90" i="2"/>
  <c r="J90" i="2"/>
  <c r="J94" i="2"/>
  <c r="K94" i="2"/>
  <c r="Q43" i="2"/>
  <c r="J46" i="2"/>
  <c r="K46" i="2"/>
  <c r="P67" i="2"/>
  <c r="K12" i="2"/>
  <c r="J12" i="2"/>
  <c r="J16" i="2"/>
  <c r="K16" i="2"/>
  <c r="AF39" i="2"/>
  <c r="J27" i="2"/>
  <c r="K27" i="2"/>
  <c r="AF38" i="2"/>
  <c r="K34" i="2"/>
  <c r="J34" i="2"/>
  <c r="K18" i="2"/>
  <c r="J18" i="2"/>
  <c r="J86" i="2"/>
  <c r="K86" i="2"/>
  <c r="J56" i="2"/>
  <c r="K56" i="2"/>
  <c r="J62" i="2"/>
  <c r="K62" i="2"/>
  <c r="AF49" i="2"/>
  <c r="K64" i="2"/>
  <c r="J64" i="2"/>
  <c r="J63" i="2"/>
  <c r="K63" i="2"/>
  <c r="J79" i="2"/>
  <c r="K79" i="2"/>
  <c r="AE78" i="2"/>
  <c r="AE79" i="2"/>
  <c r="AE85" i="2"/>
  <c r="P102" i="2"/>
  <c r="P101" i="2"/>
  <c r="J73" i="2"/>
  <c r="K73" i="2"/>
  <c r="J80" i="2"/>
  <c r="K80" i="2"/>
  <c r="K92" i="2"/>
  <c r="J92" i="2"/>
  <c r="AE43" i="2"/>
  <c r="AE44" i="2"/>
  <c r="K30" i="2"/>
  <c r="J30" i="2"/>
  <c r="AE73" i="2"/>
  <c r="AE74" i="2"/>
  <c r="J31" i="2"/>
  <c r="K31" i="2"/>
  <c r="P40" i="2"/>
  <c r="AE64" i="2"/>
  <c r="AE104" i="2"/>
  <c r="AE103" i="2"/>
  <c r="P70" i="2"/>
  <c r="P71" i="2"/>
  <c r="P106" i="2"/>
  <c r="P107" i="2"/>
  <c r="J35" i="2"/>
  <c r="K35" i="2"/>
  <c r="AF12" i="2"/>
  <c r="P16" i="2"/>
  <c r="P17" i="2"/>
  <c r="J36" i="2"/>
  <c r="K36" i="2"/>
  <c r="AF33" i="2"/>
  <c r="AE21" i="2"/>
  <c r="AE10" i="2"/>
  <c r="P38" i="2"/>
  <c r="P36" i="2"/>
  <c r="AF27" i="2"/>
  <c r="J24" i="2"/>
  <c r="K24" i="2"/>
  <c r="AE11" i="2"/>
  <c r="P33" i="2"/>
  <c r="AE32" i="2"/>
  <c r="P29" i="2"/>
  <c r="P19" i="2"/>
  <c r="AE13" i="2"/>
  <c r="AE14" i="2"/>
  <c r="AB8" i="2"/>
  <c r="AC9" i="2" s="1"/>
  <c r="AF9" i="2" s="1"/>
  <c r="H9" i="2"/>
  <c r="K9" i="2" s="1"/>
  <c r="M8" i="2"/>
  <c r="K44" i="2"/>
  <c r="J44" i="2"/>
  <c r="J53" i="2"/>
  <c r="K53" i="2"/>
  <c r="AE37" i="2"/>
  <c r="J28" i="2"/>
  <c r="K28" i="2"/>
  <c r="P10" i="2"/>
  <c r="Q41" i="2"/>
  <c r="AE60" i="2"/>
  <c r="P45" i="2"/>
  <c r="K70" i="2"/>
  <c r="J70" i="2"/>
  <c r="AE89" i="2"/>
  <c r="AE90" i="2"/>
  <c r="K98" i="2"/>
  <c r="J98" i="2"/>
  <c r="P73" i="2"/>
  <c r="J89" i="2"/>
  <c r="K89" i="2"/>
  <c r="J97" i="2"/>
  <c r="K97" i="2"/>
  <c r="K43" i="2"/>
  <c r="J43" i="2"/>
  <c r="AE66" i="2"/>
  <c r="AE67" i="2"/>
  <c r="J72" i="2"/>
  <c r="K72" i="2"/>
  <c r="J106" i="2"/>
  <c r="K106" i="2"/>
  <c r="AE46" i="2"/>
  <c r="P46" i="2"/>
  <c r="AE91" i="2"/>
  <c r="Q59" i="2" l="1"/>
  <c r="AJ67" i="2"/>
  <c r="AJ24" i="2"/>
  <c r="AF101" i="2"/>
  <c r="AJ92" i="2"/>
  <c r="AJ101" i="2"/>
  <c r="V59" i="2"/>
  <c r="W59" i="2" s="1"/>
  <c r="R59" i="2" s="1"/>
  <c r="T59" i="2" s="1"/>
  <c r="AF53" i="2"/>
  <c r="AK103" i="2"/>
  <c r="AJ53" i="2"/>
  <c r="AO26" i="2"/>
  <c r="AP26" i="2" s="1"/>
  <c r="AR26" i="2" s="1"/>
  <c r="AO21" i="2"/>
  <c r="AP21" i="2" s="1"/>
  <c r="AR21" i="2" s="1"/>
  <c r="AO45" i="2"/>
  <c r="AP45" i="2" s="1"/>
  <c r="AR45" i="2" s="1"/>
  <c r="AO108" i="2"/>
  <c r="AP108" i="2" s="1"/>
  <c r="AR108" i="2" s="1"/>
  <c r="AO48" i="2"/>
  <c r="AP48" i="2" s="1"/>
  <c r="AR48" i="2" s="1"/>
  <c r="AO72" i="2"/>
  <c r="AP72" i="2" s="1"/>
  <c r="AR72" i="2" s="1"/>
  <c r="AO79" i="2"/>
  <c r="AP79" i="2" s="1"/>
  <c r="AO16" i="2"/>
  <c r="AP16" i="2" s="1"/>
  <c r="AR16" i="2" s="1"/>
  <c r="AO69" i="2"/>
  <c r="AP69" i="2" s="1"/>
  <c r="AR69" i="2" s="1"/>
  <c r="V54" i="2"/>
  <c r="AO33" i="2"/>
  <c r="AP33" i="2" s="1"/>
  <c r="AR33" i="2" s="1"/>
  <c r="AO38" i="2"/>
  <c r="AP38" i="2" s="1"/>
  <c r="AR38" i="2" s="1"/>
  <c r="AO56" i="2"/>
  <c r="AP56" i="2" s="1"/>
  <c r="AR56" i="2" s="1"/>
  <c r="AO94" i="2"/>
  <c r="AP94" i="2" s="1"/>
  <c r="AR94" i="2" s="1"/>
  <c r="AO85" i="2"/>
  <c r="AP85" i="2" s="1"/>
  <c r="AR85" i="2" s="1"/>
  <c r="AO83" i="2"/>
  <c r="AP83" i="2" s="1"/>
  <c r="AR83" i="2" s="1"/>
  <c r="AO53" i="2"/>
  <c r="AP53" i="2" s="1"/>
  <c r="AR53" i="2" s="1"/>
  <c r="AF82" i="2"/>
  <c r="AF108" i="2"/>
  <c r="Z102" i="2"/>
  <c r="W67" i="2"/>
  <c r="R67" i="2" s="1"/>
  <c r="T67" i="2" s="1"/>
  <c r="Z78" i="2"/>
  <c r="AK106" i="2"/>
  <c r="AL106" i="2" s="1"/>
  <c r="AG106" i="2" s="1"/>
  <c r="AI106" i="2" s="1"/>
  <c r="AK19" i="2"/>
  <c r="AK74" i="2"/>
  <c r="AL74" i="2" s="1"/>
  <c r="AG74" i="2" s="1"/>
  <c r="AI74" i="2" s="1"/>
  <c r="AL50" i="2"/>
  <c r="AK70" i="2"/>
  <c r="AL70" i="2" s="1"/>
  <c r="Q23" i="2"/>
  <c r="Z68" i="2"/>
  <c r="AO90" i="2"/>
  <c r="AP90" i="2" s="1"/>
  <c r="AS90" i="2" s="1"/>
  <c r="AU90" i="2" s="1"/>
  <c r="Z43" i="2"/>
  <c r="AG62" i="2"/>
  <c r="AI62" i="2" s="1"/>
  <c r="Q58" i="2"/>
  <c r="AJ65" i="2"/>
  <c r="AL65" i="2" s="1"/>
  <c r="AG65" i="2" s="1"/>
  <c r="AI65" i="2" s="1"/>
  <c r="Z42" i="2"/>
  <c r="AL77" i="2"/>
  <c r="AG77" i="2" s="1"/>
  <c r="AI77" i="2" s="1"/>
  <c r="AJ54" i="2"/>
  <c r="AK54" i="2"/>
  <c r="AK82" i="2"/>
  <c r="AQ46" i="2"/>
  <c r="R51" i="2"/>
  <c r="T51" i="2" s="1"/>
  <c r="AJ66" i="2"/>
  <c r="AL103" i="2"/>
  <c r="AG103" i="2" s="1"/>
  <c r="AI103" i="2" s="1"/>
  <c r="AJ98" i="2"/>
  <c r="AL98" i="2" s="1"/>
  <c r="AG98" i="2" s="1"/>
  <c r="AI98" i="2" s="1"/>
  <c r="AK87" i="2"/>
  <c r="AL87" i="2" s="1"/>
  <c r="Z59" i="2"/>
  <c r="AO54" i="2"/>
  <c r="AP54" i="2" s="1"/>
  <c r="AQ54" i="2" s="1"/>
  <c r="Z79" i="2"/>
  <c r="AF87" i="2"/>
  <c r="AO68" i="2"/>
  <c r="AP68" i="2" s="1"/>
  <c r="AR68" i="2" s="1"/>
  <c r="AO100" i="2"/>
  <c r="AP100" i="2" s="1"/>
  <c r="AR100" i="2" s="1"/>
  <c r="AO37" i="2"/>
  <c r="AP37" i="2" s="1"/>
  <c r="AQ37" i="2" s="1"/>
  <c r="AO103" i="2"/>
  <c r="AP103" i="2" s="1"/>
  <c r="AR103" i="2" s="1"/>
  <c r="AO76" i="2"/>
  <c r="AP76" i="2" s="1"/>
  <c r="AQ76" i="2" s="1"/>
  <c r="AO96" i="2"/>
  <c r="AP96" i="2" s="1"/>
  <c r="AS96" i="2" s="1"/>
  <c r="AU96" i="2" s="1"/>
  <c r="AO58" i="2"/>
  <c r="AP58" i="2" s="1"/>
  <c r="AR58" i="2" s="1"/>
  <c r="AO27" i="2"/>
  <c r="AP27" i="2" s="1"/>
  <c r="AR27" i="2" s="1"/>
  <c r="AO73" i="2"/>
  <c r="AP73" i="2" s="1"/>
  <c r="AR73" i="2" s="1"/>
  <c r="AO99" i="2"/>
  <c r="AP99" i="2" s="1"/>
  <c r="AR99" i="2" s="1"/>
  <c r="AO78" i="2"/>
  <c r="AP78" i="2" s="1"/>
  <c r="AR78" i="2" s="1"/>
  <c r="AL75" i="2"/>
  <c r="AG75" i="2" s="1"/>
  <c r="AI75" i="2" s="1"/>
  <c r="AO25" i="2"/>
  <c r="AP25" i="2" s="1"/>
  <c r="AR25" i="2" s="1"/>
  <c r="AL33" i="2"/>
  <c r="AG33" i="2" s="1"/>
  <c r="AI33" i="2" s="1"/>
  <c r="AO49" i="2"/>
  <c r="AP49" i="2" s="1"/>
  <c r="AR49" i="2" s="1"/>
  <c r="AO22" i="2"/>
  <c r="AP22" i="2" s="1"/>
  <c r="AR22" i="2" s="1"/>
  <c r="AO31" i="2"/>
  <c r="AP31" i="2" s="1"/>
  <c r="AR31" i="2" s="1"/>
  <c r="AO81" i="2"/>
  <c r="AP81" i="2" s="1"/>
  <c r="AR81" i="2" s="1"/>
  <c r="AO77" i="2"/>
  <c r="AP77" i="2" s="1"/>
  <c r="AR77" i="2" s="1"/>
  <c r="AO82" i="2"/>
  <c r="AP82" i="2" s="1"/>
  <c r="AR82" i="2" s="1"/>
  <c r="AO62" i="2"/>
  <c r="AP62" i="2" s="1"/>
  <c r="AR62" i="2" s="1"/>
  <c r="AL24" i="2"/>
  <c r="AO65" i="2"/>
  <c r="AP65" i="2" s="1"/>
  <c r="AR65" i="2" s="1"/>
  <c r="AO66" i="2"/>
  <c r="AP66" i="2" s="1"/>
  <c r="AS66" i="2" s="1"/>
  <c r="AU66" i="2" s="1"/>
  <c r="Z108" i="2"/>
  <c r="AR19" i="2"/>
  <c r="AS19" i="2"/>
  <c r="AU19" i="2" s="1"/>
  <c r="AR79" i="2"/>
  <c r="AQ79" i="2"/>
  <c r="AR54" i="2"/>
  <c r="AO91" i="2"/>
  <c r="AP91" i="2" s="1"/>
  <c r="AO87" i="2"/>
  <c r="AP87" i="2" s="1"/>
  <c r="AO71" i="2"/>
  <c r="AP71" i="2" s="1"/>
  <c r="AO43" i="2"/>
  <c r="AP43" i="2" s="1"/>
  <c r="AO89" i="2"/>
  <c r="AP89" i="2" s="1"/>
  <c r="AO74" i="2"/>
  <c r="AP74" i="2" s="1"/>
  <c r="AO107" i="2"/>
  <c r="AP107" i="2" s="1"/>
  <c r="AO86" i="2"/>
  <c r="AP86" i="2" s="1"/>
  <c r="AO98" i="2"/>
  <c r="AP98" i="2" s="1"/>
  <c r="AO20" i="2"/>
  <c r="AP20" i="2" s="1"/>
  <c r="AO30" i="2"/>
  <c r="AP30" i="2" s="1"/>
  <c r="AO95" i="2"/>
  <c r="AP95" i="2" s="1"/>
  <c r="AO34" i="2"/>
  <c r="AP34" i="2" s="1"/>
  <c r="AO47" i="2"/>
  <c r="AP47" i="2" s="1"/>
  <c r="AO88" i="2"/>
  <c r="AP88" i="2" s="1"/>
  <c r="AO55" i="2"/>
  <c r="AP55" i="2" s="1"/>
  <c r="AO67" i="2"/>
  <c r="AP67" i="2" s="1"/>
  <c r="AO97" i="2"/>
  <c r="AP97" i="2" s="1"/>
  <c r="AO106" i="2"/>
  <c r="AP106" i="2" s="1"/>
  <c r="AO102" i="2"/>
  <c r="AP102" i="2" s="1"/>
  <c r="AO93" i="2"/>
  <c r="AP93" i="2" s="1"/>
  <c r="AQ19" i="2"/>
  <c r="AO51" i="2"/>
  <c r="AP51" i="2" s="1"/>
  <c r="AO59" i="2"/>
  <c r="AP59" i="2" s="1"/>
  <c r="AO101" i="2"/>
  <c r="AP101" i="2" s="1"/>
  <c r="AO105" i="2"/>
  <c r="AP105" i="2" s="1"/>
  <c r="AR105" i="2" s="1"/>
  <c r="AO29" i="2"/>
  <c r="AP29" i="2" s="1"/>
  <c r="AR29" i="2" s="1"/>
  <c r="AO14" i="2"/>
  <c r="AP14" i="2" s="1"/>
  <c r="AR14" i="2" s="1"/>
  <c r="AO35" i="2"/>
  <c r="AP35" i="2" s="1"/>
  <c r="AR35" i="2" s="1"/>
  <c r="AO92" i="2"/>
  <c r="AP92" i="2" s="1"/>
  <c r="AR92" i="2" s="1"/>
  <c r="AO42" i="2"/>
  <c r="AP42" i="2" s="1"/>
  <c r="AR42" i="2" s="1"/>
  <c r="AO28" i="2"/>
  <c r="AP28" i="2" s="1"/>
  <c r="AO104" i="2"/>
  <c r="AP104" i="2" s="1"/>
  <c r="AR104" i="2" s="1"/>
  <c r="AO13" i="2"/>
  <c r="AP13" i="2" s="1"/>
  <c r="AR13" i="2" s="1"/>
  <c r="AO36" i="2"/>
  <c r="AP36" i="2" s="1"/>
  <c r="AR36" i="2" s="1"/>
  <c r="AO18" i="2"/>
  <c r="AP18" i="2" s="1"/>
  <c r="AR18" i="2" s="1"/>
  <c r="AO60" i="2"/>
  <c r="AP60" i="2" s="1"/>
  <c r="AO64" i="2"/>
  <c r="AP64" i="2" s="1"/>
  <c r="AO61" i="2"/>
  <c r="AP61" i="2" s="1"/>
  <c r="AS61" i="2" s="1"/>
  <c r="AU61" i="2" s="1"/>
  <c r="AO80" i="2"/>
  <c r="AP80" i="2" s="1"/>
  <c r="AR80" i="2" s="1"/>
  <c r="AO44" i="2"/>
  <c r="AP44" i="2" s="1"/>
  <c r="AR44" i="2" s="1"/>
  <c r="AO24" i="2"/>
  <c r="AP24" i="2" s="1"/>
  <c r="AR24" i="2" s="1"/>
  <c r="AO32" i="2"/>
  <c r="AP32" i="2" s="1"/>
  <c r="AS32" i="2" s="1"/>
  <c r="AU32" i="2" s="1"/>
  <c r="AO15" i="2"/>
  <c r="AP15" i="2" s="1"/>
  <c r="AO50" i="2"/>
  <c r="AP50" i="2" s="1"/>
  <c r="AQ50" i="2" s="1"/>
  <c r="AO39" i="2"/>
  <c r="AP39" i="2" s="1"/>
  <c r="AO75" i="2"/>
  <c r="AP75" i="2" s="1"/>
  <c r="AQ75" i="2" s="1"/>
  <c r="AO10" i="2"/>
  <c r="AP10" i="2" s="1"/>
  <c r="AR10" i="2" s="1"/>
  <c r="AO23" i="2"/>
  <c r="AP23" i="2" s="1"/>
  <c r="AS23" i="2" s="1"/>
  <c r="AU23" i="2" s="1"/>
  <c r="AO17" i="2"/>
  <c r="AP17" i="2" s="1"/>
  <c r="AR17" i="2" s="1"/>
  <c r="AO11" i="2"/>
  <c r="AP11" i="2" s="1"/>
  <c r="AS11" i="2" s="1"/>
  <c r="AU11" i="2" s="1"/>
  <c r="AO12" i="2"/>
  <c r="AP12" i="2" s="1"/>
  <c r="AR12" i="2" s="1"/>
  <c r="AO52" i="2"/>
  <c r="AP52" i="2" s="1"/>
  <c r="AS52" i="2" s="1"/>
  <c r="AU52" i="2" s="1"/>
  <c r="AO41" i="2"/>
  <c r="AP41" i="2" s="1"/>
  <c r="AR41" i="2" s="1"/>
  <c r="AO63" i="2"/>
  <c r="AP63" i="2" s="1"/>
  <c r="AR63" i="2" s="1"/>
  <c r="AO70" i="2"/>
  <c r="AP70" i="2" s="1"/>
  <c r="AR70" i="2" s="1"/>
  <c r="AO57" i="2"/>
  <c r="AP57" i="2" s="1"/>
  <c r="AR57" i="2" s="1"/>
  <c r="Q37" i="2"/>
  <c r="AQ16" i="2"/>
  <c r="AQ90" i="2"/>
  <c r="Q104" i="2"/>
  <c r="Q105" i="2"/>
  <c r="Z98" i="2"/>
  <c r="Z106" i="2"/>
  <c r="W74" i="2"/>
  <c r="R74" i="2" s="1"/>
  <c r="T74" i="2" s="1"/>
  <c r="Z94" i="2"/>
  <c r="AQ53" i="2"/>
  <c r="AS45" i="2"/>
  <c r="AU45" i="2" s="1"/>
  <c r="AS53" i="2"/>
  <c r="AU53" i="2" s="1"/>
  <c r="Q65" i="2"/>
  <c r="Z50" i="2"/>
  <c r="Z75" i="2"/>
  <c r="Z26" i="2"/>
  <c r="Z44" i="2"/>
  <c r="W20" i="2"/>
  <c r="R20" i="2" s="1"/>
  <c r="T20" i="2" s="1"/>
  <c r="W91" i="2"/>
  <c r="R91" i="2" s="1"/>
  <c r="T91" i="2" s="1"/>
  <c r="Z55" i="2"/>
  <c r="W61" i="2"/>
  <c r="R61" i="2" s="1"/>
  <c r="T61" i="2" s="1"/>
  <c r="AF83" i="2"/>
  <c r="AQ35" i="2"/>
  <c r="AS31" i="2"/>
  <c r="AU31" i="2" s="1"/>
  <c r="AQ68" i="2"/>
  <c r="R66" i="2"/>
  <c r="T66" i="2" s="1"/>
  <c r="Q69" i="2"/>
  <c r="AL78" i="2"/>
  <c r="AG78" i="2" s="1"/>
  <c r="AI78" i="2" s="1"/>
  <c r="AL105" i="2"/>
  <c r="AG105" i="2" s="1"/>
  <c r="AI105" i="2" s="1"/>
  <c r="AL47" i="2"/>
  <c r="AG47" i="2" s="1"/>
  <c r="AI47" i="2" s="1"/>
  <c r="Z25" i="2"/>
  <c r="Z101" i="2"/>
  <c r="AJ83" i="2"/>
  <c r="AL83" i="2" s="1"/>
  <c r="AG83" i="2" s="1"/>
  <c r="AI83" i="2" s="1"/>
  <c r="AJ48" i="2"/>
  <c r="AL48" i="2" s="1"/>
  <c r="AG48" i="2" s="1"/>
  <c r="AI48" i="2" s="1"/>
  <c r="AJ18" i="2"/>
  <c r="AL18" i="2" s="1"/>
  <c r="AG18" i="2" s="1"/>
  <c r="AI18" i="2" s="1"/>
  <c r="AQ69" i="2"/>
  <c r="AL92" i="2"/>
  <c r="AG92" i="2" s="1"/>
  <c r="AI92" i="2" s="1"/>
  <c r="U65" i="2"/>
  <c r="V65" i="2"/>
  <c r="AJ91" i="2"/>
  <c r="AK91" i="2"/>
  <c r="AF106" i="2"/>
  <c r="AS33" i="2"/>
  <c r="AU33" i="2" s="1"/>
  <c r="AQ33" i="2"/>
  <c r="AJ86" i="2"/>
  <c r="AL86" i="2" s="1"/>
  <c r="AG86" i="2" s="1"/>
  <c r="AI86" i="2" s="1"/>
  <c r="W47" i="2"/>
  <c r="R47" i="2" s="1"/>
  <c r="T47" i="2" s="1"/>
  <c r="AS22" i="2"/>
  <c r="AU22" i="2" s="1"/>
  <c r="AJ64" i="2"/>
  <c r="AK64" i="2"/>
  <c r="AJ52" i="2"/>
  <c r="AK52" i="2"/>
  <c r="AF76" i="2"/>
  <c r="AS21" i="2"/>
  <c r="AU21" i="2" s="1"/>
  <c r="Z107" i="2"/>
  <c r="Z80" i="2"/>
  <c r="AL97" i="2"/>
  <c r="AG97" i="2" s="1"/>
  <c r="AI97" i="2" s="1"/>
  <c r="Z47" i="2"/>
  <c r="AL82" i="2"/>
  <c r="AG82" i="2" s="1"/>
  <c r="AI82" i="2" s="1"/>
  <c r="Z48" i="2"/>
  <c r="AJ89" i="2"/>
  <c r="AK89" i="2"/>
  <c r="AK55" i="2"/>
  <c r="AJ55" i="2"/>
  <c r="V63" i="2"/>
  <c r="U63" i="2"/>
  <c r="V90" i="2"/>
  <c r="U90" i="2"/>
  <c r="U94" i="2"/>
  <c r="V94" i="2"/>
  <c r="Q63" i="2"/>
  <c r="AS79" i="2"/>
  <c r="AU79" i="2" s="1"/>
  <c r="AS46" i="2"/>
  <c r="AU46" i="2" s="1"/>
  <c r="AQ45" i="2"/>
  <c r="AQ85" i="2"/>
  <c r="AF88" i="2"/>
  <c r="AQ26" i="2"/>
  <c r="Q84" i="2"/>
  <c r="Q75" i="2"/>
  <c r="AF52" i="2"/>
  <c r="Q39" i="2"/>
  <c r="Z99" i="2"/>
  <c r="W54" i="2"/>
  <c r="R54" i="2" s="1"/>
  <c r="T54" i="2" s="1"/>
  <c r="Z93" i="2"/>
  <c r="Z69" i="2"/>
  <c r="AS26" i="2"/>
  <c r="AU26" i="2" s="1"/>
  <c r="Z84" i="2"/>
  <c r="AJ46" i="2"/>
  <c r="AL46" i="2" s="1"/>
  <c r="AG46" i="2" s="1"/>
  <c r="AI46" i="2" s="1"/>
  <c r="Z49" i="2"/>
  <c r="Z45" i="2"/>
  <c r="AQ84" i="2"/>
  <c r="Z61" i="2"/>
  <c r="AK90" i="2"/>
  <c r="AJ90" i="2"/>
  <c r="U56" i="2"/>
  <c r="V56" i="2"/>
  <c r="AL71" i="2"/>
  <c r="Z91" i="2"/>
  <c r="U62" i="2"/>
  <c r="V62" i="2"/>
  <c r="AJ88" i="2"/>
  <c r="AK88" i="2"/>
  <c r="U77" i="2"/>
  <c r="V77" i="2"/>
  <c r="V60" i="2"/>
  <c r="U60" i="2"/>
  <c r="U64" i="2"/>
  <c r="V64" i="2"/>
  <c r="AF59" i="2"/>
  <c r="Q77" i="2"/>
  <c r="AS16" i="2"/>
  <c r="AU16" i="2" s="1"/>
  <c r="AS10" i="2"/>
  <c r="AU10" i="2" s="1"/>
  <c r="AS68" i="2"/>
  <c r="AU68" i="2" s="1"/>
  <c r="AS85" i="2"/>
  <c r="AU85" i="2" s="1"/>
  <c r="AF84" i="2"/>
  <c r="Q14" i="2"/>
  <c r="Q50" i="2"/>
  <c r="W88" i="2"/>
  <c r="R88" i="2" s="1"/>
  <c r="T88" i="2" s="1"/>
  <c r="Z10" i="2"/>
  <c r="AL45" i="2"/>
  <c r="AG45" i="2" s="1"/>
  <c r="AI45" i="2" s="1"/>
  <c r="AL63" i="2"/>
  <c r="AG63" i="2" s="1"/>
  <c r="AI63" i="2" s="1"/>
  <c r="W107" i="2"/>
  <c r="R107" i="2" s="1"/>
  <c r="T107" i="2" s="1"/>
  <c r="Z33" i="2"/>
  <c r="AL53" i="2"/>
  <c r="AG53" i="2" s="1"/>
  <c r="AI53" i="2" s="1"/>
  <c r="Z12" i="2"/>
  <c r="Z14" i="2"/>
  <c r="Z87" i="2"/>
  <c r="Z88" i="2"/>
  <c r="W87" i="2"/>
  <c r="R87" i="2" s="1"/>
  <c r="T87" i="2" s="1"/>
  <c r="U41" i="2"/>
  <c r="V41" i="2"/>
  <c r="V53" i="2"/>
  <c r="U53" i="2"/>
  <c r="AL60" i="2"/>
  <c r="AG60" i="2" s="1"/>
  <c r="AI60" i="2" s="1"/>
  <c r="V70" i="2"/>
  <c r="U70" i="2"/>
  <c r="U79" i="2"/>
  <c r="V79" i="2"/>
  <c r="U46" i="2"/>
  <c r="V46" i="2"/>
  <c r="AK43" i="2"/>
  <c r="AJ43" i="2"/>
  <c r="AS73" i="2"/>
  <c r="AU73" i="2" s="1"/>
  <c r="W93" i="2"/>
  <c r="R93" i="2" s="1"/>
  <c r="T93" i="2" s="1"/>
  <c r="U10" i="2"/>
  <c r="V10" i="2"/>
  <c r="U23" i="2"/>
  <c r="V23" i="2"/>
  <c r="U17" i="2"/>
  <c r="V17" i="2"/>
  <c r="AK41" i="2"/>
  <c r="AJ41" i="2"/>
  <c r="Z41" i="2"/>
  <c r="U36" i="2"/>
  <c r="V36" i="2"/>
  <c r="AL34" i="2"/>
  <c r="AG34" i="2" s="1"/>
  <c r="AI34" i="2" s="1"/>
  <c r="AL16" i="2"/>
  <c r="AG16" i="2" s="1"/>
  <c r="AI16" i="2" s="1"/>
  <c r="V48" i="2"/>
  <c r="U48" i="2"/>
  <c r="AJ79" i="2"/>
  <c r="AK79" i="2"/>
  <c r="V44" i="2"/>
  <c r="U44" i="2"/>
  <c r="AK11" i="2"/>
  <c r="AJ11" i="2"/>
  <c r="V16" i="2"/>
  <c r="U16" i="2"/>
  <c r="AJ69" i="2"/>
  <c r="AK69" i="2"/>
  <c r="AJ81" i="2"/>
  <c r="AK81" i="2"/>
  <c r="V21" i="2"/>
  <c r="U21" i="2"/>
  <c r="AK22" i="2"/>
  <c r="AJ22" i="2"/>
  <c r="V28" i="2"/>
  <c r="U28" i="2"/>
  <c r="V75" i="2"/>
  <c r="U75" i="2"/>
  <c r="AJ58" i="2"/>
  <c r="AK58" i="2"/>
  <c r="U84" i="2"/>
  <c r="V84" i="2"/>
  <c r="AJ15" i="2"/>
  <c r="AK15" i="2"/>
  <c r="N109" i="2"/>
  <c r="AN109" i="2"/>
  <c r="AO109" i="2" s="1"/>
  <c r="AP109" i="2" s="1"/>
  <c r="AK94" i="2"/>
  <c r="AJ94" i="2"/>
  <c r="V69" i="2"/>
  <c r="U69" i="2"/>
  <c r="V22" i="2"/>
  <c r="U22" i="2"/>
  <c r="U31" i="2"/>
  <c r="V31" i="2"/>
  <c r="U81" i="2"/>
  <c r="V81" i="2"/>
  <c r="AK35" i="2"/>
  <c r="AJ35" i="2"/>
  <c r="U12" i="2"/>
  <c r="V12" i="2"/>
  <c r="AF15" i="2"/>
  <c r="AS40" i="2"/>
  <c r="AU40" i="2" s="1"/>
  <c r="V72" i="2"/>
  <c r="U72" i="2"/>
  <c r="V100" i="2"/>
  <c r="U100" i="2"/>
  <c r="V29" i="2"/>
  <c r="U29" i="2"/>
  <c r="V35" i="2"/>
  <c r="U35" i="2"/>
  <c r="U40" i="2"/>
  <c r="V40" i="2"/>
  <c r="AJ68" i="2"/>
  <c r="AK68" i="2"/>
  <c r="AL85" i="2"/>
  <c r="AG85" i="2" s="1"/>
  <c r="AI85" i="2" s="1"/>
  <c r="V92" i="2"/>
  <c r="U92" i="2"/>
  <c r="V42" i="2"/>
  <c r="U42" i="2"/>
  <c r="AJ29" i="2"/>
  <c r="AK29" i="2"/>
  <c r="AL10" i="2"/>
  <c r="AG10" i="2" s="1"/>
  <c r="AI10" i="2" s="1"/>
  <c r="U27" i="2"/>
  <c r="V27" i="2"/>
  <c r="Z38" i="2"/>
  <c r="AJ21" i="2"/>
  <c r="AK21" i="2"/>
  <c r="V45" i="2"/>
  <c r="U45" i="2"/>
  <c r="V99" i="2"/>
  <c r="U99" i="2"/>
  <c r="U104" i="2"/>
  <c r="V104" i="2"/>
  <c r="Z96" i="2"/>
  <c r="Z72" i="2"/>
  <c r="AL66" i="2"/>
  <c r="AG66" i="2" s="1"/>
  <c r="AI66" i="2" s="1"/>
  <c r="W97" i="2"/>
  <c r="R97" i="2" s="1"/>
  <c r="T97" i="2" s="1"/>
  <c r="W30" i="2"/>
  <c r="U25" i="2"/>
  <c r="V25" i="2"/>
  <c r="AJ14" i="2"/>
  <c r="AK14" i="2"/>
  <c r="AC109" i="2"/>
  <c r="AF109" i="2"/>
  <c r="AJ93" i="2"/>
  <c r="AK93" i="2"/>
  <c r="Z30" i="2"/>
  <c r="U49" i="2"/>
  <c r="V49" i="2"/>
  <c r="AL19" i="2"/>
  <c r="AG19" i="2" s="1"/>
  <c r="AI19" i="2" s="1"/>
  <c r="Z32" i="2"/>
  <c r="V33" i="2"/>
  <c r="U33" i="2"/>
  <c r="AK17" i="2"/>
  <c r="AJ17" i="2"/>
  <c r="U11" i="2"/>
  <c r="V11" i="2"/>
  <c r="AQ27" i="2"/>
  <c r="AQ83" i="2"/>
  <c r="Q44" i="2"/>
  <c r="AG36" i="2"/>
  <c r="AI36" i="2" s="1"/>
  <c r="Q72" i="2"/>
  <c r="AS84" i="2"/>
  <c r="AU84" i="2" s="1"/>
  <c r="AQ22" i="2"/>
  <c r="V68" i="2"/>
  <c r="U68" i="2"/>
  <c r="V101" i="2"/>
  <c r="U101" i="2"/>
  <c r="Z83" i="2"/>
  <c r="AJ84" i="2"/>
  <c r="AK84" i="2"/>
  <c r="AL49" i="2"/>
  <c r="AG49" i="2" s="1"/>
  <c r="AI49" i="2" s="1"/>
  <c r="AL37" i="2"/>
  <c r="AG37" i="2" s="1"/>
  <c r="AI37" i="2" s="1"/>
  <c r="AL23" i="2"/>
  <c r="AG23" i="2" s="1"/>
  <c r="AI23" i="2" s="1"/>
  <c r="Z22" i="2"/>
  <c r="U24" i="2"/>
  <c r="V24" i="2"/>
  <c r="AJ73" i="2"/>
  <c r="AK73" i="2"/>
  <c r="AJ100" i="2"/>
  <c r="AK100" i="2"/>
  <c r="AJ108" i="2"/>
  <c r="AK108" i="2"/>
  <c r="V85" i="2"/>
  <c r="U85" i="2"/>
  <c r="U15" i="2"/>
  <c r="V15" i="2"/>
  <c r="AJ31" i="2"/>
  <c r="AK31" i="2"/>
  <c r="V50" i="2"/>
  <c r="U50" i="2"/>
  <c r="U39" i="2"/>
  <c r="V39" i="2"/>
  <c r="Z16" i="2"/>
  <c r="AL51" i="2"/>
  <c r="AG51" i="2" s="1"/>
  <c r="AI51" i="2" s="1"/>
  <c r="V83" i="2"/>
  <c r="U83" i="2"/>
  <c r="U108" i="2"/>
  <c r="V108" i="2"/>
  <c r="AQ31" i="2"/>
  <c r="AQ73" i="2"/>
  <c r="AS27" i="2"/>
  <c r="AU27" i="2" s="1"/>
  <c r="Q81" i="2"/>
  <c r="AQ40" i="2"/>
  <c r="J109" i="2"/>
  <c r="Q15" i="2"/>
  <c r="Q12" i="2"/>
  <c r="Q100" i="2"/>
  <c r="AG20" i="2"/>
  <c r="AI20" i="2" s="1"/>
  <c r="AF94" i="2"/>
  <c r="AF58" i="2"/>
  <c r="Q31" i="2"/>
  <c r="AS69" i="2"/>
  <c r="AU69" i="2" s="1"/>
  <c r="AL67" i="2"/>
  <c r="AG67" i="2" s="1"/>
  <c r="AI67" i="2" s="1"/>
  <c r="V80" i="2"/>
  <c r="U80" i="2"/>
  <c r="U105" i="2"/>
  <c r="V105" i="2"/>
  <c r="AJ13" i="2"/>
  <c r="AK13" i="2"/>
  <c r="V37" i="2"/>
  <c r="U37" i="2"/>
  <c r="AJ44" i="2"/>
  <c r="AK44" i="2"/>
  <c r="V14" i="2"/>
  <c r="U14" i="2"/>
  <c r="AK26" i="2"/>
  <c r="AJ26" i="2"/>
  <c r="U103" i="2"/>
  <c r="V103" i="2"/>
  <c r="U76" i="2"/>
  <c r="V76" i="2"/>
  <c r="Z37" i="2"/>
  <c r="V32" i="2"/>
  <c r="U32" i="2"/>
  <c r="AK72" i="2"/>
  <c r="AJ72" i="2"/>
  <c r="AJ99" i="2"/>
  <c r="AK99" i="2"/>
  <c r="AK107" i="2"/>
  <c r="AJ107" i="2"/>
  <c r="AJ80" i="2"/>
  <c r="AK80" i="2"/>
  <c r="U96" i="2"/>
  <c r="V96" i="2"/>
  <c r="V58" i="2"/>
  <c r="U58" i="2"/>
  <c r="W98" i="2"/>
  <c r="R98" i="2" s="1"/>
  <c r="T98" i="2" s="1"/>
  <c r="AK30" i="2"/>
  <c r="AJ30" i="2"/>
  <c r="Z100" i="2"/>
  <c r="AL12" i="2"/>
  <c r="AG12" i="2" s="1"/>
  <c r="AI12" i="2" s="1"/>
  <c r="U73" i="2"/>
  <c r="V73" i="2"/>
  <c r="W102" i="2"/>
  <c r="R102" i="2" s="1"/>
  <c r="T102" i="2" s="1"/>
  <c r="U78" i="2"/>
  <c r="V78" i="2"/>
  <c r="AK102" i="2"/>
  <c r="AJ102" i="2"/>
  <c r="AJ59" i="2"/>
  <c r="AK59" i="2"/>
  <c r="AK76" i="2"/>
  <c r="AJ76" i="2"/>
  <c r="AL101" i="2"/>
  <c r="AG101" i="2" s="1"/>
  <c r="AI101" i="2" s="1"/>
  <c r="Z92" i="2"/>
  <c r="W82" i="2"/>
  <c r="R82" i="2" s="1"/>
  <c r="T82" i="2" s="1"/>
  <c r="Z104" i="2"/>
  <c r="Z58" i="2"/>
  <c r="U13" i="2"/>
  <c r="V13" i="2"/>
  <c r="Z34" i="2"/>
  <c r="AI110" i="2"/>
  <c r="AB110" i="2"/>
  <c r="AU110" i="2"/>
  <c r="T110" i="2"/>
  <c r="M110" i="2"/>
  <c r="K110" i="2"/>
  <c r="H110" i="2"/>
  <c r="Y109" i="2"/>
  <c r="Q109" i="2"/>
  <c r="X109" i="2"/>
  <c r="Z77" i="2"/>
  <c r="Z24" i="2"/>
  <c r="AL27" i="2"/>
  <c r="AG27" i="2" s="1"/>
  <c r="AI27" i="2" s="1"/>
  <c r="W34" i="2"/>
  <c r="R34" i="2" s="1"/>
  <c r="T34" i="2" s="1"/>
  <c r="AK40" i="2"/>
  <c r="AJ40" i="2"/>
  <c r="AL25" i="2"/>
  <c r="AG25" i="2" s="1"/>
  <c r="AI25" i="2" s="1"/>
  <c r="AL57" i="2"/>
  <c r="AG57" i="2" s="1"/>
  <c r="AI57" i="2" s="1"/>
  <c r="V26" i="2"/>
  <c r="U26" i="2"/>
  <c r="V38" i="2"/>
  <c r="U38" i="2"/>
  <c r="U18" i="2"/>
  <c r="V18" i="2"/>
  <c r="AL28" i="2"/>
  <c r="AG28" i="2" s="1"/>
  <c r="AI28" i="2" s="1"/>
  <c r="AQ21" i="2"/>
  <c r="AF92" i="2"/>
  <c r="AF96" i="2"/>
  <c r="Q94" i="2"/>
  <c r="Q56" i="2"/>
  <c r="AF98" i="2"/>
  <c r="AF19" i="2"/>
  <c r="Q92" i="2"/>
  <c r="AF80" i="2"/>
  <c r="AF35" i="2"/>
  <c r="Q48" i="2"/>
  <c r="Q18" i="2"/>
  <c r="AF22" i="2"/>
  <c r="AF72" i="2"/>
  <c r="Q90" i="2"/>
  <c r="Q49" i="2"/>
  <c r="AF107" i="2"/>
  <c r="O110" i="2"/>
  <c r="P110" i="2" s="1"/>
  <c r="Q34" i="2"/>
  <c r="Q51" i="2"/>
  <c r="AF31" i="2"/>
  <c r="Q66" i="2"/>
  <c r="AF86" i="2"/>
  <c r="Q62" i="2"/>
  <c r="Q68" i="2"/>
  <c r="Q60" i="2"/>
  <c r="AF16" i="2"/>
  <c r="Q93" i="2"/>
  <c r="AF62" i="2"/>
  <c r="R30" i="2"/>
  <c r="T30" i="2" s="1"/>
  <c r="C111" i="2"/>
  <c r="AD110" i="2"/>
  <c r="AE110" i="2" s="1"/>
  <c r="AF81" i="2"/>
  <c r="AG87" i="2"/>
  <c r="AI87" i="2" s="1"/>
  <c r="Q32" i="2"/>
  <c r="Q35" i="2"/>
  <c r="E110" i="2"/>
  <c r="E111" i="2" s="1"/>
  <c r="D110" i="2"/>
  <c r="D111" i="2" s="1"/>
  <c r="AF17" i="2"/>
  <c r="Q97" i="2"/>
  <c r="AF63" i="2"/>
  <c r="B110" i="2"/>
  <c r="B111" i="2" s="1"/>
  <c r="D5" i="1" s="1"/>
  <c r="D5" i="3" s="1"/>
  <c r="I110" i="2"/>
  <c r="AF20" i="2"/>
  <c r="Q27" i="2"/>
  <c r="Q83" i="2"/>
  <c r="AF36" i="2"/>
  <c r="Q76" i="2"/>
  <c r="AF71" i="2"/>
  <c r="AG71" i="2"/>
  <c r="AI71" i="2" s="1"/>
  <c r="AF23" i="2"/>
  <c r="AF70" i="2"/>
  <c r="AG70" i="2"/>
  <c r="AI70" i="2" s="1"/>
  <c r="Q11" i="2"/>
  <c r="Q61" i="2"/>
  <c r="Q74" i="2"/>
  <c r="AG50" i="2"/>
  <c r="AI50" i="2" s="1"/>
  <c r="AF50" i="2"/>
  <c r="AF66" i="2"/>
  <c r="Q45" i="2"/>
  <c r="AF13" i="2"/>
  <c r="Q33" i="2"/>
  <c r="Q17" i="2"/>
  <c r="AF64" i="2"/>
  <c r="AF44" i="2"/>
  <c r="AF85" i="2"/>
  <c r="AF56" i="2"/>
  <c r="AG56" i="2"/>
  <c r="AI56" i="2" s="1"/>
  <c r="AF28" i="2"/>
  <c r="Q25" i="2"/>
  <c r="AF25" i="2"/>
  <c r="Q21" i="2"/>
  <c r="AF42" i="2"/>
  <c r="AG42" i="2"/>
  <c r="AI42" i="2" s="1"/>
  <c r="Q46" i="2"/>
  <c r="AF60" i="2"/>
  <c r="AF21" i="2"/>
  <c r="Q16" i="2"/>
  <c r="AG104" i="2"/>
  <c r="AI104" i="2" s="1"/>
  <c r="AF104" i="2"/>
  <c r="Q40" i="2"/>
  <c r="Q102" i="2"/>
  <c r="Q67" i="2"/>
  <c r="Q91" i="2"/>
  <c r="AF41" i="2"/>
  <c r="AF46" i="2"/>
  <c r="AF90" i="2"/>
  <c r="Q10" i="2"/>
  <c r="AK9" i="2"/>
  <c r="AJ9" i="2"/>
  <c r="Q29" i="2"/>
  <c r="Q36" i="2"/>
  <c r="AF74" i="2"/>
  <c r="AF78" i="2"/>
  <c r="AF67" i="2"/>
  <c r="AF89" i="2"/>
  <c r="AF37" i="2"/>
  <c r="N9" i="2"/>
  <c r="Q9" i="2" s="1"/>
  <c r="AN9" i="2"/>
  <c r="AO9" i="2" s="1"/>
  <c r="AP9" i="2" s="1"/>
  <c r="J9" i="2"/>
  <c r="AF14" i="2"/>
  <c r="AG32" i="2"/>
  <c r="AI32" i="2" s="1"/>
  <c r="AF32" i="2"/>
  <c r="AF11" i="2"/>
  <c r="Q38" i="2"/>
  <c r="Q70" i="2"/>
  <c r="AF73" i="2"/>
  <c r="Q78" i="2"/>
  <c r="Q85" i="2"/>
  <c r="AF18" i="2"/>
  <c r="AF40" i="2"/>
  <c r="AF26" i="2"/>
  <c r="AF97" i="2"/>
  <c r="Q54" i="2"/>
  <c r="AF30" i="2"/>
  <c r="AF91" i="2"/>
  <c r="AF10" i="2"/>
  <c r="Q107" i="2"/>
  <c r="AF103" i="2"/>
  <c r="Q101" i="2"/>
  <c r="Q73" i="2"/>
  <c r="Q19" i="2"/>
  <c r="R19" i="2"/>
  <c r="T19" i="2" s="1"/>
  <c r="Q106" i="2"/>
  <c r="R106" i="2"/>
  <c r="T106" i="2" s="1"/>
  <c r="AF43" i="2"/>
  <c r="AF79" i="2"/>
  <c r="AF55" i="2"/>
  <c r="Q24" i="2"/>
  <c r="Q22" i="2"/>
  <c r="R71" i="2"/>
  <c r="T71" i="2" s="1"/>
  <c r="Q71" i="2"/>
  <c r="Q79" i="2"/>
  <c r="Q86" i="2"/>
  <c r="R86" i="2"/>
  <c r="T86" i="2" s="1"/>
  <c r="AF34" i="2"/>
  <c r="R89" i="2"/>
  <c r="T89" i="2" s="1"/>
  <c r="Q89" i="2"/>
  <c r="R55" i="2"/>
  <c r="T55" i="2" s="1"/>
  <c r="Q55" i="2"/>
  <c r="AF29" i="2"/>
  <c r="AF93" i="2"/>
  <c r="AF24" i="2"/>
  <c r="AG24" i="2"/>
  <c r="AI24" i="2" s="1"/>
  <c r="AS72" i="2" l="1"/>
  <c r="AU72" i="2" s="1"/>
  <c r="AQ72" i="2"/>
  <c r="AS94" i="2"/>
  <c r="AU94" i="2" s="1"/>
  <c r="AQ94" i="2"/>
  <c r="AR90" i="2"/>
  <c r="AQ78" i="2"/>
  <c r="AQ48" i="2"/>
  <c r="AS56" i="2"/>
  <c r="AU56" i="2" s="1"/>
  <c r="AQ82" i="2"/>
  <c r="AQ108" i="2"/>
  <c r="AS103" i="2"/>
  <c r="AU103" i="2" s="1"/>
  <c r="AQ103" i="2"/>
  <c r="AS108" i="2"/>
  <c r="AU108" i="2" s="1"/>
  <c r="AQ24" i="2"/>
  <c r="AQ38" i="2"/>
  <c r="AQ77" i="2"/>
  <c r="AS82" i="2"/>
  <c r="AU82" i="2" s="1"/>
  <c r="AS38" i="2"/>
  <c r="AU38" i="2" s="1"/>
  <c r="AQ56" i="2"/>
  <c r="AS48" i="2"/>
  <c r="AU48" i="2" s="1"/>
  <c r="AL54" i="2"/>
  <c r="AG54" i="2" s="1"/>
  <c r="AI54" i="2" s="1"/>
  <c r="AS83" i="2"/>
  <c r="AU83" i="2" s="1"/>
  <c r="AQ96" i="2"/>
  <c r="AQ49" i="2"/>
  <c r="AL55" i="2"/>
  <c r="AG55" i="2" s="1"/>
  <c r="AI55" i="2" s="1"/>
  <c r="AQ11" i="2"/>
  <c r="AS36" i="2"/>
  <c r="AU36" i="2" s="1"/>
  <c r="AR11" i="2"/>
  <c r="AQ66" i="2"/>
  <c r="AR66" i="2"/>
  <c r="AQ65" i="2"/>
  <c r="AS25" i="2"/>
  <c r="AU25" i="2" s="1"/>
  <c r="AQ42" i="2"/>
  <c r="AS63" i="2"/>
  <c r="AU63" i="2" s="1"/>
  <c r="AS76" i="2"/>
  <c r="AU76" i="2" s="1"/>
  <c r="AS62" i="2"/>
  <c r="AU62" i="2" s="1"/>
  <c r="AS37" i="2"/>
  <c r="AU37" i="2" s="1"/>
  <c r="AQ25" i="2"/>
  <c r="AQ44" i="2"/>
  <c r="AS44" i="2"/>
  <c r="AU44" i="2" s="1"/>
  <c r="AS57" i="2"/>
  <c r="AU57" i="2" s="1"/>
  <c r="AR76" i="2"/>
  <c r="AS42" i="2"/>
  <c r="AU42" i="2" s="1"/>
  <c r="AQ62" i="2"/>
  <c r="AS77" i="2"/>
  <c r="AU77" i="2" s="1"/>
  <c r="AS81" i="2"/>
  <c r="AU81" i="2" s="1"/>
  <c r="AQ100" i="2"/>
  <c r="AS18" i="2"/>
  <c r="AU18" i="2" s="1"/>
  <c r="AR96" i="2"/>
  <c r="AQ81" i="2"/>
  <c r="AS99" i="2"/>
  <c r="AU99" i="2" s="1"/>
  <c r="AS54" i="2"/>
  <c r="AU54" i="2" s="1"/>
  <c r="W65" i="2"/>
  <c r="R65" i="2" s="1"/>
  <c r="T65" i="2" s="1"/>
  <c r="AS58" i="2"/>
  <c r="AU58" i="2" s="1"/>
  <c r="AS80" i="2"/>
  <c r="AU80" i="2" s="1"/>
  <c r="AQ10" i="2"/>
  <c r="AQ12" i="2"/>
  <c r="AS70" i="2"/>
  <c r="AU70" i="2" s="1"/>
  <c r="AR37" i="2"/>
  <c r="W13" i="2"/>
  <c r="R13" i="2" s="1"/>
  <c r="T13" i="2" s="1"/>
  <c r="W73" i="2"/>
  <c r="R73" i="2" s="1"/>
  <c r="T73" i="2" s="1"/>
  <c r="W103" i="2"/>
  <c r="R103" i="2" s="1"/>
  <c r="T103" i="2" s="1"/>
  <c r="W105" i="2"/>
  <c r="R105" i="2" s="1"/>
  <c r="T105" i="2" s="1"/>
  <c r="AS78" i="2"/>
  <c r="AU78" i="2" s="1"/>
  <c r="AS100" i="2"/>
  <c r="AU100" i="2" s="1"/>
  <c r="AL21" i="2"/>
  <c r="AG21" i="2" s="1"/>
  <c r="AI21" i="2" s="1"/>
  <c r="W12" i="2"/>
  <c r="R12" i="2" s="1"/>
  <c r="T12" i="2" s="1"/>
  <c r="W81" i="2"/>
  <c r="R81" i="2" s="1"/>
  <c r="T81" i="2" s="1"/>
  <c r="AQ70" i="2"/>
  <c r="AQ63" i="2"/>
  <c r="AQ99" i="2"/>
  <c r="AS65" i="2"/>
  <c r="AU65" i="2" s="1"/>
  <c r="AQ58" i="2"/>
  <c r="AQ29" i="2"/>
  <c r="AS29" i="2"/>
  <c r="AU29" i="2" s="1"/>
  <c r="AL93" i="2"/>
  <c r="AG93" i="2" s="1"/>
  <c r="AI93" i="2" s="1"/>
  <c r="AL14" i="2"/>
  <c r="AG14" i="2" s="1"/>
  <c r="AI14" i="2" s="1"/>
  <c r="AL68" i="2"/>
  <c r="AG68" i="2" s="1"/>
  <c r="AI68" i="2" s="1"/>
  <c r="AL88" i="2"/>
  <c r="AG88" i="2" s="1"/>
  <c r="AI88" i="2" s="1"/>
  <c r="AS49" i="2"/>
  <c r="AU49" i="2" s="1"/>
  <c r="AQ36" i="2"/>
  <c r="AL52" i="2"/>
  <c r="AG52" i="2" s="1"/>
  <c r="AI52" i="2" s="1"/>
  <c r="AS35" i="2"/>
  <c r="AU35" i="2" s="1"/>
  <c r="AQ17" i="2"/>
  <c r="AQ18" i="2"/>
  <c r="AR39" i="2"/>
  <c r="AS39" i="2"/>
  <c r="AU39" i="2" s="1"/>
  <c r="AQ39" i="2"/>
  <c r="AR64" i="2"/>
  <c r="AQ64" i="2"/>
  <c r="AR97" i="2"/>
  <c r="AS97" i="2"/>
  <c r="AU97" i="2" s="1"/>
  <c r="AQ97" i="2"/>
  <c r="AR47" i="2"/>
  <c r="AS47" i="2"/>
  <c r="AU47" i="2" s="1"/>
  <c r="AQ47" i="2"/>
  <c r="AR20" i="2"/>
  <c r="AS20" i="2"/>
  <c r="AU20" i="2" s="1"/>
  <c r="AQ20" i="2"/>
  <c r="AR74" i="2"/>
  <c r="AS74" i="2"/>
  <c r="AU74" i="2" s="1"/>
  <c r="AQ74" i="2"/>
  <c r="AR87" i="2"/>
  <c r="AS87" i="2"/>
  <c r="AU87" i="2" s="1"/>
  <c r="AQ87" i="2"/>
  <c r="AQ92" i="2"/>
  <c r="AQ41" i="2"/>
  <c r="AR52" i="2"/>
  <c r="AQ52" i="2"/>
  <c r="AR23" i="2"/>
  <c r="AQ23" i="2"/>
  <c r="AR50" i="2"/>
  <c r="AS50" i="2"/>
  <c r="AU50" i="2" s="1"/>
  <c r="AR60" i="2"/>
  <c r="AQ60" i="2"/>
  <c r="AR101" i="2"/>
  <c r="AQ101" i="2"/>
  <c r="AR67" i="2"/>
  <c r="AS67" i="2"/>
  <c r="AU67" i="2" s="1"/>
  <c r="AQ67" i="2"/>
  <c r="AR34" i="2"/>
  <c r="AS34" i="2"/>
  <c r="AU34" i="2" s="1"/>
  <c r="AQ34" i="2"/>
  <c r="AR98" i="2"/>
  <c r="AS98" i="2"/>
  <c r="AU98" i="2" s="1"/>
  <c r="AQ98" i="2"/>
  <c r="AR89" i="2"/>
  <c r="AS89" i="2"/>
  <c r="AU89" i="2" s="1"/>
  <c r="AQ89" i="2"/>
  <c r="AR91" i="2"/>
  <c r="AQ91" i="2"/>
  <c r="AS91" i="2"/>
  <c r="AU91" i="2" s="1"/>
  <c r="AS13" i="2"/>
  <c r="AU13" i="2" s="1"/>
  <c r="AS92" i="2"/>
  <c r="AU92" i="2" s="1"/>
  <c r="AS105" i="2"/>
  <c r="AU105" i="2" s="1"/>
  <c r="AS41" i="2"/>
  <c r="AU41" i="2" s="1"/>
  <c r="AS17" i="2"/>
  <c r="AU17" i="2" s="1"/>
  <c r="AS104" i="2"/>
  <c r="AU104" i="2" s="1"/>
  <c r="AQ57" i="2"/>
  <c r="AQ104" i="2"/>
  <c r="AS64" i="2"/>
  <c r="AU64" i="2" s="1"/>
  <c r="AR15" i="2"/>
  <c r="AQ15" i="2"/>
  <c r="AS15" i="2"/>
  <c r="AU15" i="2" s="1"/>
  <c r="AR28" i="2"/>
  <c r="AS28" i="2"/>
  <c r="AU28" i="2" s="1"/>
  <c r="AR59" i="2"/>
  <c r="AS59" i="2"/>
  <c r="AU59" i="2" s="1"/>
  <c r="AQ59" i="2"/>
  <c r="AR102" i="2"/>
  <c r="AQ102" i="2"/>
  <c r="AS102" i="2"/>
  <c r="AU102" i="2" s="1"/>
  <c r="AR55" i="2"/>
  <c r="AS55" i="2"/>
  <c r="AU55" i="2" s="1"/>
  <c r="AQ55" i="2"/>
  <c r="AR95" i="2"/>
  <c r="AQ95" i="2"/>
  <c r="AS95" i="2"/>
  <c r="AU95" i="2" s="1"/>
  <c r="AR86" i="2"/>
  <c r="AS86" i="2"/>
  <c r="AU86" i="2" s="1"/>
  <c r="AQ86" i="2"/>
  <c r="AR43" i="2"/>
  <c r="AQ43" i="2"/>
  <c r="AS43" i="2"/>
  <c r="AU43" i="2" s="1"/>
  <c r="AQ13" i="2"/>
  <c r="AS101" i="2"/>
  <c r="AU101" i="2" s="1"/>
  <c r="AS14" i="2"/>
  <c r="AU14" i="2" s="1"/>
  <c r="AQ80" i="2"/>
  <c r="AQ105" i="2"/>
  <c r="AS12" i="2"/>
  <c r="AU12" i="2" s="1"/>
  <c r="AQ14" i="2"/>
  <c r="AS24" i="2"/>
  <c r="AU24" i="2" s="1"/>
  <c r="AS60" i="2"/>
  <c r="AU60" i="2" s="1"/>
  <c r="AQ28" i="2"/>
  <c r="AR75" i="2"/>
  <c r="AS75" i="2"/>
  <c r="AU75" i="2" s="1"/>
  <c r="AR32" i="2"/>
  <c r="AQ32" i="2"/>
  <c r="AR61" i="2"/>
  <c r="AQ61" i="2"/>
  <c r="AR51" i="2"/>
  <c r="AS51" i="2"/>
  <c r="AU51" i="2" s="1"/>
  <c r="AQ51" i="2"/>
  <c r="AR93" i="2"/>
  <c r="AQ93" i="2"/>
  <c r="AS93" i="2"/>
  <c r="AU93" i="2" s="1"/>
  <c r="AR106" i="2"/>
  <c r="AQ106" i="2"/>
  <c r="AS106" i="2"/>
  <c r="AU106" i="2" s="1"/>
  <c r="AR88" i="2"/>
  <c r="AQ88" i="2"/>
  <c r="AS88" i="2"/>
  <c r="AU88" i="2" s="1"/>
  <c r="AR30" i="2"/>
  <c r="AQ30" i="2"/>
  <c r="AS30" i="2"/>
  <c r="AU30" i="2" s="1"/>
  <c r="AR107" i="2"/>
  <c r="AQ107" i="2"/>
  <c r="AS107" i="2"/>
  <c r="AU107" i="2" s="1"/>
  <c r="AR71" i="2"/>
  <c r="AQ71" i="2"/>
  <c r="AS71" i="2"/>
  <c r="AU71" i="2" s="1"/>
  <c r="W79" i="2"/>
  <c r="R79" i="2" s="1"/>
  <c r="T79" i="2" s="1"/>
  <c r="W18" i="2"/>
  <c r="R18" i="2" s="1"/>
  <c r="T18" i="2" s="1"/>
  <c r="Z109" i="2"/>
  <c r="AL80" i="2"/>
  <c r="AG80" i="2" s="1"/>
  <c r="AI80" i="2" s="1"/>
  <c r="AL99" i="2"/>
  <c r="AG99" i="2" s="1"/>
  <c r="AI99" i="2" s="1"/>
  <c r="W108" i="2"/>
  <c r="R108" i="2" s="1"/>
  <c r="T108" i="2" s="1"/>
  <c r="W33" i="2"/>
  <c r="R33" i="2" s="1"/>
  <c r="T33" i="2" s="1"/>
  <c r="W25" i="2"/>
  <c r="R25" i="2" s="1"/>
  <c r="T25" i="2" s="1"/>
  <c r="W45" i="2"/>
  <c r="R45" i="2" s="1"/>
  <c r="T45" i="2" s="1"/>
  <c r="W27" i="2"/>
  <c r="R27" i="2" s="1"/>
  <c r="T27" i="2" s="1"/>
  <c r="W92" i="2"/>
  <c r="R92" i="2" s="1"/>
  <c r="T92" i="2" s="1"/>
  <c r="W40" i="2"/>
  <c r="R40" i="2" s="1"/>
  <c r="T40" i="2" s="1"/>
  <c r="AL15" i="2"/>
  <c r="AG15" i="2" s="1"/>
  <c r="AI15" i="2" s="1"/>
  <c r="AL58" i="2"/>
  <c r="AG58" i="2" s="1"/>
  <c r="AI58" i="2" s="1"/>
  <c r="AL69" i="2"/>
  <c r="AG69" i="2" s="1"/>
  <c r="AI69" i="2" s="1"/>
  <c r="AL79" i="2"/>
  <c r="AG79" i="2" s="1"/>
  <c r="AI79" i="2" s="1"/>
  <c r="W36" i="2"/>
  <c r="R36" i="2" s="1"/>
  <c r="T36" i="2" s="1"/>
  <c r="W23" i="2"/>
  <c r="R23" i="2" s="1"/>
  <c r="T23" i="2" s="1"/>
  <c r="W46" i="2"/>
  <c r="R46" i="2" s="1"/>
  <c r="T46" i="2" s="1"/>
  <c r="W64" i="2"/>
  <c r="R64" i="2" s="1"/>
  <c r="T64" i="2" s="1"/>
  <c r="W77" i="2"/>
  <c r="R77" i="2" s="1"/>
  <c r="T77" i="2" s="1"/>
  <c r="W62" i="2"/>
  <c r="R62" i="2" s="1"/>
  <c r="T62" i="2" s="1"/>
  <c r="AL64" i="2"/>
  <c r="AG64" i="2" s="1"/>
  <c r="AI64" i="2" s="1"/>
  <c r="AL91" i="2"/>
  <c r="AG91" i="2" s="1"/>
  <c r="AI91" i="2" s="1"/>
  <c r="W63" i="2"/>
  <c r="R63" i="2" s="1"/>
  <c r="T63" i="2" s="1"/>
  <c r="J110" i="2"/>
  <c r="W38" i="2"/>
  <c r="R38" i="2" s="1"/>
  <c r="T38" i="2" s="1"/>
  <c r="AL107" i="2"/>
  <c r="AG107" i="2" s="1"/>
  <c r="AI107" i="2" s="1"/>
  <c r="AL72" i="2"/>
  <c r="AG72" i="2" s="1"/>
  <c r="AI72" i="2" s="1"/>
  <c r="W76" i="2"/>
  <c r="R76" i="2" s="1"/>
  <c r="T76" i="2" s="1"/>
  <c r="AL44" i="2"/>
  <c r="AG44" i="2" s="1"/>
  <c r="AI44" i="2" s="1"/>
  <c r="AL13" i="2"/>
  <c r="AG13" i="2" s="1"/>
  <c r="AI13" i="2" s="1"/>
  <c r="W15" i="2"/>
  <c r="R15" i="2" s="1"/>
  <c r="T15" i="2" s="1"/>
  <c r="AL108" i="2"/>
  <c r="AG108" i="2" s="1"/>
  <c r="AI108" i="2" s="1"/>
  <c r="AL73" i="2"/>
  <c r="AG73" i="2" s="1"/>
  <c r="AI73" i="2" s="1"/>
  <c r="AL84" i="2"/>
  <c r="AG84" i="2" s="1"/>
  <c r="AI84" i="2" s="1"/>
  <c r="W31" i="2"/>
  <c r="R31" i="2" s="1"/>
  <c r="T31" i="2" s="1"/>
  <c r="W69" i="2"/>
  <c r="R69" i="2" s="1"/>
  <c r="T69" i="2" s="1"/>
  <c r="W75" i="2"/>
  <c r="R75" i="2" s="1"/>
  <c r="T75" i="2" s="1"/>
  <c r="AL22" i="2"/>
  <c r="AG22" i="2" s="1"/>
  <c r="AI22" i="2" s="1"/>
  <c r="W16" i="2"/>
  <c r="R16" i="2" s="1"/>
  <c r="T16" i="2" s="1"/>
  <c r="W44" i="2"/>
  <c r="R44" i="2" s="1"/>
  <c r="T44" i="2" s="1"/>
  <c r="W17" i="2"/>
  <c r="R17" i="2" s="1"/>
  <c r="T17" i="2" s="1"/>
  <c r="W10" i="2"/>
  <c r="R10" i="2" s="1"/>
  <c r="T10" i="2" s="1"/>
  <c r="W70" i="2"/>
  <c r="R70" i="2" s="1"/>
  <c r="T70" i="2" s="1"/>
  <c r="W41" i="2"/>
  <c r="R41" i="2" s="1"/>
  <c r="T41" i="2" s="1"/>
  <c r="W60" i="2"/>
  <c r="R60" i="2" s="1"/>
  <c r="T60" i="2" s="1"/>
  <c r="AL90" i="2"/>
  <c r="AG90" i="2" s="1"/>
  <c r="AI90" i="2" s="1"/>
  <c r="W94" i="2"/>
  <c r="R94" i="2" s="1"/>
  <c r="T94" i="2" s="1"/>
  <c r="AL89" i="2"/>
  <c r="AG89" i="2" s="1"/>
  <c r="AI89" i="2" s="1"/>
  <c r="W56" i="2"/>
  <c r="R56" i="2" s="1"/>
  <c r="T56" i="2" s="1"/>
  <c r="W85" i="2"/>
  <c r="R85" i="2" s="1"/>
  <c r="T85" i="2" s="1"/>
  <c r="W53" i="2"/>
  <c r="R53" i="2" s="1"/>
  <c r="T53" i="2" s="1"/>
  <c r="W90" i="2"/>
  <c r="R90" i="2" s="1"/>
  <c r="T90" i="2" s="1"/>
  <c r="Q110" i="2"/>
  <c r="X110" i="2"/>
  <c r="Y110" i="2"/>
  <c r="W101" i="2"/>
  <c r="R101" i="2" s="1"/>
  <c r="T101" i="2" s="1"/>
  <c r="W42" i="2"/>
  <c r="R42" i="2" s="1"/>
  <c r="T42" i="2" s="1"/>
  <c r="W28" i="2"/>
  <c r="R28" i="2" s="1"/>
  <c r="T28" i="2" s="1"/>
  <c r="AL11" i="2"/>
  <c r="AG11" i="2" s="1"/>
  <c r="AI11" i="2" s="1"/>
  <c r="U109" i="2"/>
  <c r="V109" i="2"/>
  <c r="AL26" i="2"/>
  <c r="AG26" i="2" s="1"/>
  <c r="AI26" i="2" s="1"/>
  <c r="W80" i="2"/>
  <c r="R80" i="2" s="1"/>
  <c r="T80" i="2" s="1"/>
  <c r="AJ109" i="2"/>
  <c r="AK109" i="2"/>
  <c r="W29" i="2"/>
  <c r="R29" i="2" s="1"/>
  <c r="T29" i="2" s="1"/>
  <c r="W72" i="2"/>
  <c r="R72" i="2" s="1"/>
  <c r="T72" i="2" s="1"/>
  <c r="AL35" i="2"/>
  <c r="AG35" i="2" s="1"/>
  <c r="AI35" i="2" s="1"/>
  <c r="W26" i="2"/>
  <c r="R26" i="2" s="1"/>
  <c r="T26" i="2" s="1"/>
  <c r="AL40" i="2"/>
  <c r="AG40" i="2" s="1"/>
  <c r="AI40" i="2" s="1"/>
  <c r="AN110" i="2"/>
  <c r="AO110" i="2" s="1"/>
  <c r="AP110" i="2" s="1"/>
  <c r="AR110" i="2" s="1"/>
  <c r="N110" i="2"/>
  <c r="AL76" i="2"/>
  <c r="AG76" i="2" s="1"/>
  <c r="AI76" i="2" s="1"/>
  <c r="AL102" i="2"/>
  <c r="AG102" i="2" s="1"/>
  <c r="AI102" i="2" s="1"/>
  <c r="W58" i="2"/>
  <c r="R58" i="2" s="1"/>
  <c r="T58" i="2" s="1"/>
  <c r="W32" i="2"/>
  <c r="R32" i="2" s="1"/>
  <c r="T32" i="2" s="1"/>
  <c r="W50" i="2"/>
  <c r="R50" i="2" s="1"/>
  <c r="T50" i="2" s="1"/>
  <c r="AL17" i="2"/>
  <c r="AG17" i="2" s="1"/>
  <c r="AI17" i="2" s="1"/>
  <c r="W99" i="2"/>
  <c r="R99" i="2" s="1"/>
  <c r="T99" i="2" s="1"/>
  <c r="AL94" i="2"/>
  <c r="AG94" i="2" s="1"/>
  <c r="AI94" i="2" s="1"/>
  <c r="W21" i="2"/>
  <c r="R21" i="2" s="1"/>
  <c r="T21" i="2" s="1"/>
  <c r="W48" i="2"/>
  <c r="R48" i="2" s="1"/>
  <c r="T48" i="2" s="1"/>
  <c r="AC110" i="2"/>
  <c r="AF110" i="2"/>
  <c r="AL59" i="2"/>
  <c r="AG59" i="2" s="1"/>
  <c r="AI59" i="2" s="1"/>
  <c r="W78" i="2"/>
  <c r="R78" i="2" s="1"/>
  <c r="T78" i="2" s="1"/>
  <c r="AL30" i="2"/>
  <c r="AG30" i="2" s="1"/>
  <c r="AI30" i="2" s="1"/>
  <c r="W96" i="2"/>
  <c r="R96" i="2" s="1"/>
  <c r="T96" i="2" s="1"/>
  <c r="W14" i="2"/>
  <c r="R14" i="2" s="1"/>
  <c r="T14" i="2" s="1"/>
  <c r="W37" i="2"/>
  <c r="R37" i="2" s="1"/>
  <c r="T37" i="2" s="1"/>
  <c r="W83" i="2"/>
  <c r="R83" i="2" s="1"/>
  <c r="T83" i="2" s="1"/>
  <c r="W39" i="2"/>
  <c r="R39" i="2" s="1"/>
  <c r="T39" i="2" s="1"/>
  <c r="AL31" i="2"/>
  <c r="AG31" i="2" s="1"/>
  <c r="AI31" i="2" s="1"/>
  <c r="AL100" i="2"/>
  <c r="AG100" i="2" s="1"/>
  <c r="AI100" i="2" s="1"/>
  <c r="W24" i="2"/>
  <c r="R24" i="2" s="1"/>
  <c r="T24" i="2" s="1"/>
  <c r="W68" i="2"/>
  <c r="R68" i="2" s="1"/>
  <c r="T68" i="2" s="1"/>
  <c r="W11" i="2"/>
  <c r="R11" i="2" s="1"/>
  <c r="T11" i="2" s="1"/>
  <c r="W49" i="2"/>
  <c r="R49" i="2" s="1"/>
  <c r="T49" i="2" s="1"/>
  <c r="W104" i="2"/>
  <c r="R104" i="2" s="1"/>
  <c r="T104" i="2" s="1"/>
  <c r="AL29" i="2"/>
  <c r="AG29" i="2" s="1"/>
  <c r="AI29" i="2" s="1"/>
  <c r="W35" i="2"/>
  <c r="R35" i="2" s="1"/>
  <c r="T35" i="2" s="1"/>
  <c r="W100" i="2"/>
  <c r="R100" i="2" s="1"/>
  <c r="T100" i="2" s="1"/>
  <c r="W22" i="2"/>
  <c r="R22" i="2" s="1"/>
  <c r="T22" i="2" s="1"/>
  <c r="AR109" i="2"/>
  <c r="AQ109" i="2"/>
  <c r="AS109" i="2"/>
  <c r="W84" i="2"/>
  <c r="R84" i="2" s="1"/>
  <c r="T84" i="2" s="1"/>
  <c r="AL81" i="2"/>
  <c r="AG81" i="2" s="1"/>
  <c r="AI81" i="2" s="1"/>
  <c r="AL41" i="2"/>
  <c r="AG41" i="2" s="1"/>
  <c r="AI41" i="2" s="1"/>
  <c r="AL43" i="2"/>
  <c r="AG43" i="2" s="1"/>
  <c r="AI43" i="2" s="1"/>
  <c r="D2" i="2"/>
  <c r="D7" i="1" s="1"/>
  <c r="D7" i="3" s="1"/>
  <c r="D3" i="2"/>
  <c r="I111" i="2"/>
  <c r="AE111" i="2"/>
  <c r="P111" i="2"/>
  <c r="AL9" i="2"/>
  <c r="AG9" i="2" s="1"/>
  <c r="AH9" i="2" s="1"/>
  <c r="AH10" i="2" s="1"/>
  <c r="J111" i="2"/>
  <c r="D6" i="1" s="1"/>
  <c r="D6" i="3" s="1"/>
  <c r="AR9" i="2"/>
  <c r="AQ9" i="2"/>
  <c r="AS9" i="2"/>
  <c r="V9" i="2"/>
  <c r="U9" i="2"/>
  <c r="AI9" i="2" l="1"/>
  <c r="Z110" i="2"/>
  <c r="AH11" i="2"/>
  <c r="AH12" i="2" s="1"/>
  <c r="AH13" i="2" s="1"/>
  <c r="AH14" i="2" s="1"/>
  <c r="AH15" i="2" s="1"/>
  <c r="AH16" i="2" s="1"/>
  <c r="AH17" i="2" s="1"/>
  <c r="AH18" i="2" s="1"/>
  <c r="AH19" i="2" s="1"/>
  <c r="AH20" i="2" s="1"/>
  <c r="AH21" i="2" s="1"/>
  <c r="AH22" i="2" s="1"/>
  <c r="AH23" i="2" s="1"/>
  <c r="AH24" i="2" s="1"/>
  <c r="AH25" i="2" s="1"/>
  <c r="AH26" i="2" s="1"/>
  <c r="AH27" i="2" s="1"/>
  <c r="AH28" i="2" s="1"/>
  <c r="AH29" i="2" s="1"/>
  <c r="AH30" i="2" s="1"/>
  <c r="AH31" i="2" s="1"/>
  <c r="AH32" i="2" s="1"/>
  <c r="AH33" i="2" s="1"/>
  <c r="AH34" i="2" s="1"/>
  <c r="AH35" i="2" s="1"/>
  <c r="AH36" i="2" s="1"/>
  <c r="AH37" i="2" s="1"/>
  <c r="AH38" i="2" s="1"/>
  <c r="AH39" i="2" s="1"/>
  <c r="AH40" i="2" s="1"/>
  <c r="AH41" i="2" s="1"/>
  <c r="AH42" i="2" s="1"/>
  <c r="AH43" i="2" s="1"/>
  <c r="AH44" i="2" s="1"/>
  <c r="AH45" i="2" s="1"/>
  <c r="AH46" i="2" s="1"/>
  <c r="AH47" i="2" s="1"/>
  <c r="AH48" i="2" s="1"/>
  <c r="AH49" i="2" s="1"/>
  <c r="AH50" i="2" s="1"/>
  <c r="AH51" i="2" s="1"/>
  <c r="AH52" i="2" s="1"/>
  <c r="AH53" i="2" s="1"/>
  <c r="AH54" i="2" s="1"/>
  <c r="AH55" i="2" s="1"/>
  <c r="AH56" i="2" s="1"/>
  <c r="AH57" i="2" s="1"/>
  <c r="AH58" i="2" s="1"/>
  <c r="AH59" i="2" s="1"/>
  <c r="AH60" i="2" s="1"/>
  <c r="AH61" i="2" s="1"/>
  <c r="AH62" i="2" s="1"/>
  <c r="AH63" i="2" s="1"/>
  <c r="AH64" i="2" s="1"/>
  <c r="AH65" i="2" s="1"/>
  <c r="AH66" i="2" s="1"/>
  <c r="AH67" i="2" s="1"/>
  <c r="AH68" i="2" s="1"/>
  <c r="AH69" i="2" s="1"/>
  <c r="AH70" i="2" s="1"/>
  <c r="AH71" i="2" s="1"/>
  <c r="AH72" i="2" s="1"/>
  <c r="AH73" i="2" s="1"/>
  <c r="AH74" i="2" s="1"/>
  <c r="AH75" i="2" s="1"/>
  <c r="AH76" i="2" s="1"/>
  <c r="AH77" i="2" s="1"/>
  <c r="AH78" i="2" s="1"/>
  <c r="AH79" i="2" s="1"/>
  <c r="AH80" i="2" s="1"/>
  <c r="AH81" i="2" s="1"/>
  <c r="AH82" i="2" s="1"/>
  <c r="AH83" i="2" s="1"/>
  <c r="AH84" i="2" s="1"/>
  <c r="AH85" i="2" s="1"/>
  <c r="AH86" i="2" s="1"/>
  <c r="AH87" i="2" s="1"/>
  <c r="AH88" i="2" s="1"/>
  <c r="AH89" i="2" s="1"/>
  <c r="AH90" i="2" s="1"/>
  <c r="AH91" i="2" s="1"/>
  <c r="AH92" i="2" s="1"/>
  <c r="AH93" i="2" s="1"/>
  <c r="AH94" i="2" s="1"/>
  <c r="AH95" i="2" s="1"/>
  <c r="AH96" i="2" s="1"/>
  <c r="AH97" i="2" s="1"/>
  <c r="AH98" i="2" s="1"/>
  <c r="AH99" i="2" s="1"/>
  <c r="AH100" i="2" s="1"/>
  <c r="AH101" i="2" s="1"/>
  <c r="AH102" i="2" s="1"/>
  <c r="AH103" i="2" s="1"/>
  <c r="AH104" i="2" s="1"/>
  <c r="AH105" i="2" s="1"/>
  <c r="AH106" i="2" s="1"/>
  <c r="AH107" i="2" s="1"/>
  <c r="AH108" i="2" s="1"/>
  <c r="AH109" i="2" s="1"/>
  <c r="AQ110" i="2"/>
  <c r="AL109" i="2"/>
  <c r="AG109" i="2" s="1"/>
  <c r="W109" i="2"/>
  <c r="R109" i="2" s="1"/>
  <c r="AS110" i="2"/>
  <c r="AK110" i="2"/>
  <c r="AJ110" i="2"/>
  <c r="V110" i="2"/>
  <c r="U110" i="2"/>
  <c r="AQ111" i="2"/>
  <c r="W9" i="2"/>
  <c r="R9" i="2" s="1"/>
  <c r="T9" i="2" s="1"/>
  <c r="AT9" i="2"/>
  <c r="AT10" i="2" s="1"/>
  <c r="AT11" i="2" s="1"/>
  <c r="AT12" i="2" s="1"/>
  <c r="AT13" i="2" s="1"/>
  <c r="AT14" i="2" s="1"/>
  <c r="AT15" i="2" s="1"/>
  <c r="AT16" i="2" s="1"/>
  <c r="AT17" i="2" s="1"/>
  <c r="AT18" i="2" s="1"/>
  <c r="AT19" i="2" s="1"/>
  <c r="AT20" i="2" s="1"/>
  <c r="AT21" i="2" s="1"/>
  <c r="AT22" i="2" s="1"/>
  <c r="AT23" i="2" s="1"/>
  <c r="AT24" i="2" s="1"/>
  <c r="AT25" i="2" s="1"/>
  <c r="AT26" i="2" s="1"/>
  <c r="AT27" i="2" s="1"/>
  <c r="AT28" i="2" s="1"/>
  <c r="AT29" i="2" s="1"/>
  <c r="AT30" i="2" s="1"/>
  <c r="AT31" i="2" s="1"/>
  <c r="AT32" i="2" s="1"/>
  <c r="AT33" i="2" s="1"/>
  <c r="AT34" i="2" s="1"/>
  <c r="AT35" i="2" s="1"/>
  <c r="AT36" i="2" s="1"/>
  <c r="AT37" i="2" s="1"/>
  <c r="AT38" i="2" s="1"/>
  <c r="AT39" i="2" s="1"/>
  <c r="AT40" i="2" s="1"/>
  <c r="AT41" i="2" s="1"/>
  <c r="AT42" i="2" s="1"/>
  <c r="AT43" i="2" s="1"/>
  <c r="AT44" i="2" s="1"/>
  <c r="AT45" i="2" s="1"/>
  <c r="AT46" i="2" s="1"/>
  <c r="AT47" i="2" s="1"/>
  <c r="AT48" i="2" s="1"/>
  <c r="AT49" i="2" s="1"/>
  <c r="AT50" i="2" s="1"/>
  <c r="AT51" i="2" s="1"/>
  <c r="AT52" i="2" s="1"/>
  <c r="AT53" i="2" s="1"/>
  <c r="AT54" i="2" s="1"/>
  <c r="AT55" i="2" s="1"/>
  <c r="AT56" i="2" s="1"/>
  <c r="AT57" i="2" s="1"/>
  <c r="AT58" i="2" s="1"/>
  <c r="AT59" i="2" s="1"/>
  <c r="AT60" i="2" s="1"/>
  <c r="AT61" i="2" s="1"/>
  <c r="AT62" i="2" s="1"/>
  <c r="AT63" i="2" s="1"/>
  <c r="AT64" i="2" s="1"/>
  <c r="AT65" i="2" s="1"/>
  <c r="AT66" i="2" s="1"/>
  <c r="AT67" i="2" s="1"/>
  <c r="AT68" i="2" s="1"/>
  <c r="AT69" i="2" s="1"/>
  <c r="AT70" i="2" s="1"/>
  <c r="AT71" i="2" s="1"/>
  <c r="AT72" i="2" s="1"/>
  <c r="AT73" i="2" s="1"/>
  <c r="AT74" i="2" s="1"/>
  <c r="AT75" i="2" s="1"/>
  <c r="AT76" i="2" s="1"/>
  <c r="AT77" i="2" s="1"/>
  <c r="AT78" i="2" s="1"/>
  <c r="AT79" i="2" s="1"/>
  <c r="AT80" i="2" s="1"/>
  <c r="AT81" i="2" s="1"/>
  <c r="AT82" i="2" s="1"/>
  <c r="AT83" i="2" s="1"/>
  <c r="AT84" i="2" s="1"/>
  <c r="AT85" i="2" s="1"/>
  <c r="AT86" i="2" s="1"/>
  <c r="AT87" i="2" s="1"/>
  <c r="AT88" i="2" s="1"/>
  <c r="AT89" i="2" s="1"/>
  <c r="AT90" i="2" s="1"/>
  <c r="AT91" i="2" s="1"/>
  <c r="AT92" i="2" s="1"/>
  <c r="AT93" i="2" s="1"/>
  <c r="AT94" i="2" s="1"/>
  <c r="AT95" i="2" s="1"/>
  <c r="AT96" i="2" s="1"/>
  <c r="AT97" i="2" s="1"/>
  <c r="AT98" i="2" s="1"/>
  <c r="AT99" i="2" s="1"/>
  <c r="AT100" i="2" s="1"/>
  <c r="AT101" i="2" s="1"/>
  <c r="AT102" i="2" s="1"/>
  <c r="AT103" i="2" s="1"/>
  <c r="AT104" i="2" s="1"/>
  <c r="AT105" i="2" s="1"/>
  <c r="AT106" i="2" s="1"/>
  <c r="AT107" i="2" s="1"/>
  <c r="AT108" i="2" s="1"/>
  <c r="AT109" i="2" s="1"/>
  <c r="AS111" i="2"/>
  <c r="Q35" i="1" s="1"/>
  <c r="Q35" i="3" s="1"/>
  <c r="AU9" i="2"/>
  <c r="S9" i="2" l="1"/>
  <c r="S10" i="2" s="1"/>
  <c r="S11" i="2" s="1"/>
  <c r="S12" i="2" s="1"/>
  <c r="S13" i="2" s="1"/>
  <c r="S14" i="2" s="1"/>
  <c r="S15" i="2" s="1"/>
  <c r="S16" i="2" s="1"/>
  <c r="S17" i="2" s="1"/>
  <c r="S18" i="2" s="1"/>
  <c r="S19" i="2" s="1"/>
  <c r="S20" i="2" s="1"/>
  <c r="S21" i="2" s="1"/>
  <c r="S22" i="2" s="1"/>
  <c r="S23" i="2" s="1"/>
  <c r="S24" i="2" s="1"/>
  <c r="S25" i="2" s="1"/>
  <c r="S26" i="2" s="1"/>
  <c r="S27" i="2" s="1"/>
  <c r="S28" i="2" s="1"/>
  <c r="S29" i="2" s="1"/>
  <c r="S30" i="2" s="1"/>
  <c r="S31" i="2" s="1"/>
  <c r="S32" i="2" s="1"/>
  <c r="S33" i="2" s="1"/>
  <c r="S34" i="2" s="1"/>
  <c r="S35" i="2" s="1"/>
  <c r="S36" i="2" s="1"/>
  <c r="S37" i="2" s="1"/>
  <c r="S38" i="2" s="1"/>
  <c r="S39" i="2" s="1"/>
  <c r="S40" i="2" s="1"/>
  <c r="S41" i="2" s="1"/>
  <c r="S42" i="2" s="1"/>
  <c r="S43" i="2" s="1"/>
  <c r="S44" i="2" s="1"/>
  <c r="S45" i="2" s="1"/>
  <c r="S46" i="2" s="1"/>
  <c r="S47" i="2" s="1"/>
  <c r="S48" i="2" s="1"/>
  <c r="S49" i="2" s="1"/>
  <c r="S50" i="2" s="1"/>
  <c r="S51" i="2" s="1"/>
  <c r="S52" i="2" s="1"/>
  <c r="S53" i="2" s="1"/>
  <c r="S54" i="2" s="1"/>
  <c r="S55" i="2" s="1"/>
  <c r="S56" i="2" s="1"/>
  <c r="S57" i="2" s="1"/>
  <c r="S58" i="2" s="1"/>
  <c r="S59" i="2" s="1"/>
  <c r="S60" i="2" s="1"/>
  <c r="S61" i="2" s="1"/>
  <c r="S62" i="2" s="1"/>
  <c r="S63" i="2" s="1"/>
  <c r="S64" i="2" s="1"/>
  <c r="S65" i="2" s="1"/>
  <c r="S66" i="2" s="1"/>
  <c r="S67" i="2" s="1"/>
  <c r="S68" i="2" s="1"/>
  <c r="S69" i="2" s="1"/>
  <c r="S70" i="2" s="1"/>
  <c r="S71" i="2" s="1"/>
  <c r="S72" i="2" s="1"/>
  <c r="S73" i="2" s="1"/>
  <c r="S74" i="2" s="1"/>
  <c r="S75" i="2" s="1"/>
  <c r="S76" i="2" s="1"/>
  <c r="S77" i="2" s="1"/>
  <c r="S78" i="2" s="1"/>
  <c r="S79" i="2" s="1"/>
  <c r="S80" i="2" s="1"/>
  <c r="S81" i="2" s="1"/>
  <c r="S82" i="2" s="1"/>
  <c r="S83" i="2" s="1"/>
  <c r="S84" i="2" s="1"/>
  <c r="S85" i="2" s="1"/>
  <c r="S86" i="2" s="1"/>
  <c r="S87" i="2" s="1"/>
  <c r="S88" i="2" s="1"/>
  <c r="S89" i="2" s="1"/>
  <c r="S90" i="2" s="1"/>
  <c r="S91" i="2" s="1"/>
  <c r="S92" i="2" s="1"/>
  <c r="S93" i="2" s="1"/>
  <c r="S94" i="2" s="1"/>
  <c r="S95" i="2" s="1"/>
  <c r="S96" i="2" s="1"/>
  <c r="S97" i="2" s="1"/>
  <c r="S98" i="2" s="1"/>
  <c r="S99" i="2" s="1"/>
  <c r="S100" i="2" s="1"/>
  <c r="S101" i="2" s="1"/>
  <c r="S102" i="2" s="1"/>
  <c r="S103" i="2" s="1"/>
  <c r="S104" i="2" s="1"/>
  <c r="S105" i="2" s="1"/>
  <c r="S106" i="2" s="1"/>
  <c r="S107" i="2" s="1"/>
  <c r="S108" i="2" s="1"/>
  <c r="S109" i="2" s="1"/>
  <c r="AL110" i="2"/>
  <c r="AG110" i="2" s="1"/>
  <c r="AT110" i="2"/>
  <c r="W110" i="2"/>
  <c r="R110" i="2" s="1"/>
  <c r="R111" i="2" s="1"/>
  <c r="J4" i="1" s="1"/>
  <c r="J4" i="3" s="1"/>
  <c r="S110" i="2" l="1"/>
  <c r="AH110" i="2"/>
  <c r="AG111" i="2"/>
  <c r="M4" i="1" s="1"/>
  <c r="M4"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Ankerpoort NV</author>
    <author>C. Mol</author>
    <author>localadmin</author>
    <author>Eigenaar</author>
  </authors>
  <commentList>
    <comment ref="M2" authorId="0" shapeId="0" xr:uid="{00000000-0006-0000-0100-000001000000}">
      <text>
        <r>
          <rPr>
            <sz val="11"/>
            <color indexed="81"/>
            <rFont val="Verdana"/>
            <family val="2"/>
          </rPr>
          <t>CS content in the bulk of the sample</t>
        </r>
      </text>
    </comment>
    <comment ref="J3" authorId="0" shapeId="0" xr:uid="{00000000-0006-0000-0100-000002000000}">
      <text>
        <r>
          <rPr>
            <sz val="11"/>
            <color indexed="81"/>
            <rFont val="Verdana"/>
            <family val="2"/>
          </rPr>
          <t>Density of the bulk of the sample.</t>
        </r>
      </text>
    </comment>
    <comment ref="M3" authorId="0" shapeId="0" xr:uid="{00000000-0006-0000-0100-000003000000}">
      <text>
        <r>
          <rPr>
            <sz val="11"/>
            <color indexed="81"/>
            <rFont val="Verdana"/>
            <family val="2"/>
          </rPr>
          <t>Density of the CS in  the sample.</t>
        </r>
      </text>
    </comment>
    <comment ref="J4" authorId="0" shapeId="0" xr:uid="{00000000-0006-0000-0100-000004000000}">
      <text>
        <r>
          <rPr>
            <sz val="11"/>
            <color indexed="81"/>
            <rFont val="Verdana"/>
            <family val="2"/>
          </rPr>
          <t xml:space="preserve">Calculated using EN 481 and the size distribution
</t>
        </r>
      </text>
    </comment>
    <comment ref="M4" authorId="0" shapeId="0" xr:uid="{00000000-0006-0000-0100-000005000000}">
      <text>
        <r>
          <rPr>
            <sz val="11"/>
            <color indexed="81"/>
            <rFont val="Verdana"/>
            <family val="2"/>
          </rPr>
          <t xml:space="preserve">Calculated using EN 481, the size distribution and the CS content.
</t>
        </r>
      </text>
    </comment>
    <comment ref="C5" authorId="1" shapeId="0" xr:uid="{00000000-0006-0000-0100-000006000000}">
      <text>
        <r>
          <rPr>
            <sz val="11"/>
            <color indexed="81"/>
            <rFont val="Verdana"/>
            <family val="2"/>
          </rPr>
          <t>Enter a percentage (0 &gt; % &gt; 100) to calculate a percentage point (e.g. D50)</t>
        </r>
      </text>
    </comment>
    <comment ref="D5" authorId="2" shapeId="0" xr:uid="{00000000-0006-0000-0100-000007000000}">
      <text>
        <r>
          <rPr>
            <sz val="11"/>
            <color indexed="81"/>
            <rFont val="Verdana"/>
            <family val="2"/>
          </rPr>
          <t xml:space="preserve">
 Percentage point
</t>
        </r>
      </text>
    </comment>
    <comment ref="D6" authorId="1" shapeId="0" xr:uid="{00000000-0006-0000-0100-000008000000}">
      <text>
        <r>
          <rPr>
            <sz val="11"/>
            <color indexed="81"/>
            <rFont val="Verdana"/>
            <family val="2"/>
          </rPr>
          <t>Calculated spec. surface based on the assumption all particles are round spheres.</t>
        </r>
      </text>
    </comment>
    <comment ref="Q6" authorId="1" shapeId="0" xr:uid="{00000000-0006-0000-0100-000009000000}">
      <text>
        <r>
          <rPr>
            <sz val="12"/>
            <color indexed="81"/>
            <rFont val="Tahoma"/>
            <family val="2"/>
          </rPr>
          <t>Temperature of the liquid.</t>
        </r>
      </text>
    </comment>
    <comment ref="C7" authorId="2" shapeId="0" xr:uid="{00000000-0006-0000-0100-00000A000000}">
      <text>
        <r>
          <rPr>
            <sz val="10"/>
            <color indexed="81"/>
            <rFont val="Verdana"/>
            <family val="2"/>
          </rPr>
          <t xml:space="preserve">
 </t>
        </r>
        <r>
          <rPr>
            <sz val="11"/>
            <color indexed="81"/>
            <rFont val="Verdana"/>
            <family val="2"/>
          </rPr>
          <t>Relative span*</t>
        </r>
      </text>
    </comment>
    <comment ref="D7" authorId="2" shapeId="0" xr:uid="{00000000-0006-0000-0100-00000B000000}">
      <text>
        <r>
          <rPr>
            <sz val="11"/>
            <color indexed="81"/>
            <rFont val="Verdana"/>
            <family val="2"/>
          </rPr>
          <t>Low value means the sample has a narrow distribution. Large values indicate a wide distribution.</t>
        </r>
      </text>
    </comment>
    <comment ref="Q7" authorId="3" shapeId="0" xr:uid="{00000000-0006-0000-0100-00000C000000}">
      <text>
        <r>
          <rPr>
            <sz val="11"/>
            <color indexed="81"/>
            <rFont val="Tahoma"/>
            <family val="2"/>
          </rPr>
          <t>Calculated viscosity for water as function of temperature.
Enter correct viscosity when other liquids are used.</t>
        </r>
      </text>
    </comment>
    <comment ref="Q8" authorId="0" shapeId="0" xr:uid="{00000000-0006-0000-0100-00000D000000}">
      <text>
        <r>
          <rPr>
            <sz val="11"/>
            <color indexed="81"/>
            <rFont val="Verdana"/>
            <family val="2"/>
          </rPr>
          <t>Calculated density of water as function of temperature. Enter correct density when other liquids are used.</t>
        </r>
      </text>
    </comment>
    <comment ref="Q9" authorId="0" shapeId="0" xr:uid="{00000000-0006-0000-0100-00000E000000}">
      <text>
        <r>
          <rPr>
            <sz val="12"/>
            <color indexed="81"/>
            <rFont val="Tahoma"/>
            <family val="2"/>
          </rPr>
          <t>Weight in grams of the total sample in suspension.</t>
        </r>
      </text>
    </comment>
    <comment ref="C10" authorId="1" shapeId="0" xr:uid="{00000000-0006-0000-0100-00000F000000}">
      <text>
        <r>
          <rPr>
            <sz val="11"/>
            <color indexed="81"/>
            <rFont val="Verdana"/>
            <family val="2"/>
          </rPr>
          <t>Do not enter zero. Start with the first diameter larger than zero.</t>
        </r>
      </text>
    </comment>
    <comment ref="Q10" authorId="1" shapeId="0" xr:uid="{00000000-0006-0000-0100-000010000000}">
      <text>
        <r>
          <rPr>
            <sz val="12"/>
            <color indexed="81"/>
            <rFont val="Tahoma"/>
            <family val="2"/>
          </rPr>
          <t>Height of the column of liquid extracted after sedimentation.</t>
        </r>
      </text>
    </comment>
    <comment ref="Q11" authorId="1" shapeId="0" xr:uid="{00000000-0006-0000-0100-000011000000}">
      <text>
        <r>
          <rPr>
            <sz val="12"/>
            <color indexed="81"/>
            <rFont val="Tahoma"/>
            <family val="2"/>
          </rPr>
          <t>Total height of liquid column.</t>
        </r>
      </text>
    </comment>
    <comment ref="Q14" authorId="1" shapeId="0" xr:uid="{00000000-0006-0000-0100-000012000000}">
      <text>
        <r>
          <rPr>
            <sz val="12"/>
            <color indexed="81"/>
            <rFont val="Tahoma"/>
            <family val="2"/>
          </rPr>
          <t>Sedimentation time to determine the CS content.
This is the time at which sedimentation of the fraction of CS particles approaches separation according to EN 481.
The time is based on the density of CS.</t>
        </r>
      </text>
    </comment>
    <comment ref="Q15" authorId="1" shapeId="0" xr:uid="{00000000-0006-0000-0100-000013000000}">
      <text>
        <r>
          <rPr>
            <sz val="12"/>
            <color indexed="81"/>
            <rFont val="Tahoma"/>
            <family val="2"/>
          </rPr>
          <t>Enter total weight of the remaining (dried) residue in the top layer after sedimentation.</t>
        </r>
      </text>
    </comment>
    <comment ref="Q16" authorId="0" shapeId="0" xr:uid="{00000000-0006-0000-0100-000014000000}">
      <text>
        <r>
          <rPr>
            <sz val="11"/>
            <color indexed="81"/>
            <rFont val="Verdana"/>
            <family val="2"/>
          </rPr>
          <t>Concentration of CS as determined in the residue.
(Not the CS of the original sample.)</t>
        </r>
      </text>
    </comment>
    <comment ref="Q17" authorId="0" shapeId="0" xr:uid="{00000000-0006-0000-0100-000015000000}">
      <text>
        <r>
          <rPr>
            <sz val="11"/>
            <color indexed="81"/>
            <rFont val="Verdana"/>
            <family val="2"/>
          </rPr>
          <t>Determined using separation by sedimentation and the CS content in the residue.</t>
        </r>
      </text>
    </comment>
    <comment ref="Q19" authorId="1" shapeId="0" xr:uid="{00000000-0006-0000-0100-000016000000}">
      <text>
        <r>
          <rPr>
            <b/>
            <sz val="12"/>
            <color indexed="81"/>
            <rFont val="Tahoma"/>
            <family val="2"/>
          </rPr>
          <t>Enter data in these cells. The data in this sheet are only an example and should be replaced by your own data.</t>
        </r>
      </text>
    </comment>
    <comment ref="Q32" authorId="1" shapeId="0" xr:uid="{00000000-0006-0000-0100-000017000000}">
      <text>
        <r>
          <rPr>
            <sz val="12"/>
            <color indexed="81"/>
            <rFont val="Tahoma"/>
            <family val="2"/>
          </rPr>
          <t xml:space="preserve">Sedimentation time for the whole sample.
This is the time at which sedimentation approaches separation according to EN 481.
The calculated time is based on the density of the whole sample.
</t>
        </r>
      </text>
    </comment>
    <comment ref="Q33" authorId="1" shapeId="0" xr:uid="{00000000-0006-0000-0100-000018000000}">
      <text>
        <r>
          <rPr>
            <sz val="12"/>
            <color indexed="81"/>
            <rFont val="Tahoma"/>
            <family val="2"/>
          </rPr>
          <t>Weight of the remaining (dried) residue in the top layer after sedimentation.</t>
        </r>
      </text>
    </comment>
    <comment ref="Q34" authorId="0" shapeId="0" xr:uid="{00000000-0006-0000-0100-000019000000}">
      <text>
        <r>
          <rPr>
            <sz val="11"/>
            <color indexed="81"/>
            <rFont val="Verdana"/>
            <family val="2"/>
          </rPr>
          <t>Determined using separation by sedimentation and the CS content in the residue.</t>
        </r>
      </text>
    </comment>
    <comment ref="Q35" authorId="0" shapeId="0" xr:uid="{00000000-0006-0000-0100-00001A000000}">
      <text>
        <r>
          <rPr>
            <sz val="11"/>
            <color indexed="81"/>
            <rFont val="Verdana"/>
            <family val="2"/>
          </rPr>
          <t xml:space="preserve">Calculated by using the density of the bulk sample, the size distribution and Stokes' law.
</t>
        </r>
      </text>
    </comment>
  </commentList>
</comments>
</file>

<file path=xl/sharedStrings.xml><?xml version="1.0" encoding="utf-8"?>
<sst xmlns="http://schemas.openxmlformats.org/spreadsheetml/2006/main" count="254" uniqueCount="159">
  <si>
    <t>diameter</t>
  </si>
  <si>
    <t>D</t>
  </si>
  <si>
    <t>Spec.</t>
  </si>
  <si>
    <t>Dxx</t>
  </si>
  <si>
    <t>Fraction</t>
  </si>
  <si>
    <t>surf.</t>
  </si>
  <si>
    <t>SWeRF</t>
  </si>
  <si>
    <t>Mass</t>
  </si>
  <si>
    <t>Frac.</t>
  </si>
  <si>
    <t>cumul.</t>
  </si>
  <si>
    <t>µm</t>
  </si>
  <si>
    <t>%</t>
  </si>
  <si>
    <t>Density =</t>
  </si>
  <si>
    <r>
      <t>E</t>
    </r>
    <r>
      <rPr>
        <b/>
        <vertAlign val="subscript"/>
        <sz val="10"/>
        <color indexed="17"/>
        <rFont val="Arial"/>
        <family val="2"/>
      </rPr>
      <t>I</t>
    </r>
  </si>
  <si>
    <r>
      <t>E</t>
    </r>
    <r>
      <rPr>
        <b/>
        <vertAlign val="subscript"/>
        <sz val="10"/>
        <color indexed="17"/>
        <rFont val="Arial"/>
        <family val="2"/>
      </rPr>
      <t>R</t>
    </r>
  </si>
  <si>
    <r>
      <t>E</t>
    </r>
    <r>
      <rPr>
        <b/>
        <vertAlign val="subscript"/>
        <sz val="10"/>
        <color indexed="17"/>
        <rFont val="Arial"/>
        <family val="2"/>
      </rPr>
      <t>R</t>
    </r>
    <r>
      <rPr>
        <b/>
        <sz val="10"/>
        <color indexed="17"/>
        <rFont val="Arial"/>
        <family val="2"/>
      </rPr>
      <t xml:space="preserve"> x E</t>
    </r>
    <r>
      <rPr>
        <b/>
        <vertAlign val="subscript"/>
        <sz val="10"/>
        <color indexed="17"/>
        <rFont val="Arial"/>
        <family val="2"/>
      </rPr>
      <t>I</t>
    </r>
  </si>
  <si>
    <t>Diameter</t>
  </si>
  <si>
    <t>density</t>
  </si>
  <si>
    <t>Physical Diameter</t>
  </si>
  <si>
    <t>Class</t>
  </si>
  <si>
    <t>fraction</t>
  </si>
  <si>
    <t>Cumulative</t>
  </si>
  <si>
    <t xml:space="preserve">Total </t>
  </si>
  <si>
    <t>log.density</t>
  </si>
  <si>
    <t xml:space="preserve">M = </t>
  </si>
  <si>
    <t>EN 481 Probability distribution</t>
  </si>
  <si>
    <t>Spec.Surface</t>
  </si>
  <si>
    <t>SWeRF =</t>
  </si>
  <si>
    <r>
      <t>kg/m</t>
    </r>
    <r>
      <rPr>
        <vertAlign val="superscript"/>
        <sz val="11"/>
        <rFont val="Verdana"/>
        <family val="2"/>
      </rPr>
      <t>3</t>
    </r>
  </si>
  <si>
    <r>
      <t>m</t>
    </r>
    <r>
      <rPr>
        <vertAlign val="superscript"/>
        <sz val="11"/>
        <rFont val="Verdana"/>
        <family val="2"/>
      </rPr>
      <t>2</t>
    </r>
    <r>
      <rPr>
        <sz val="11"/>
        <rFont val="Verdana"/>
        <family val="2"/>
      </rPr>
      <t>/g</t>
    </r>
  </si>
  <si>
    <t>Cryst. Silica cont.</t>
  </si>
  <si>
    <t>(µm)</t>
  </si>
  <si>
    <t>(%)</t>
  </si>
  <si>
    <t>Cum.</t>
  </si>
  <si>
    <t>Date:</t>
  </si>
  <si>
    <t>Method of size distribution analysis:</t>
  </si>
  <si>
    <r>
      <t>SWeRF</t>
    </r>
    <r>
      <rPr>
        <b/>
        <vertAlign val="subscript"/>
        <sz val="14"/>
        <color indexed="17"/>
        <rFont val="Verdana"/>
        <family val="2"/>
      </rPr>
      <t>cs</t>
    </r>
    <r>
      <rPr>
        <b/>
        <sz val="11"/>
        <color indexed="17"/>
        <rFont val="Verdana"/>
        <family val="2"/>
      </rPr>
      <t xml:space="preserve"> =</t>
    </r>
  </si>
  <si>
    <t>Different methods will result in a different size distributions which consequently will result in different results for the SWeRF.</t>
  </si>
  <si>
    <t>CS Density =</t>
  </si>
  <si>
    <t>Aerodynamic diameter CS</t>
  </si>
  <si>
    <t>Density CS</t>
  </si>
  <si>
    <t>Aerodynamic diameter sample</t>
  </si>
  <si>
    <t>Density</t>
  </si>
  <si>
    <t xml:space="preserve"> Sample</t>
  </si>
  <si>
    <t>Sec.</t>
  </si>
  <si>
    <t>SweRF Sed.</t>
  </si>
  <si>
    <t>Hours</t>
  </si>
  <si>
    <t>Probability</t>
  </si>
  <si>
    <t>V(m/s)</t>
  </si>
  <si>
    <t>Sed.(m)</t>
  </si>
  <si>
    <t>MassFrac.</t>
  </si>
  <si>
    <t>Sedimentation</t>
  </si>
  <si>
    <t>Liquid Density =</t>
  </si>
  <si>
    <t>Viscosity =</t>
  </si>
  <si>
    <r>
      <t>*10</t>
    </r>
    <r>
      <rPr>
        <vertAlign val="superscript"/>
        <sz val="11"/>
        <rFont val="Verdana"/>
        <family val="2"/>
      </rPr>
      <t>-3</t>
    </r>
    <r>
      <rPr>
        <sz val="11"/>
        <rFont val="Verdana"/>
        <family val="2"/>
      </rPr>
      <t xml:space="preserve"> kg/m*s</t>
    </r>
  </si>
  <si>
    <t>Liquid column =</t>
  </si>
  <si>
    <t>m</t>
  </si>
  <si>
    <t>uu:mm</t>
  </si>
  <si>
    <t>separated column =</t>
  </si>
  <si>
    <t xml:space="preserve"> </t>
  </si>
  <si>
    <t>Sedimentation parameters</t>
  </si>
  <si>
    <t>Time of sedimentation SWeRF</t>
  </si>
  <si>
    <t>Time of sedimentation SWeRFcs</t>
  </si>
  <si>
    <t>SWeRFcs (sedimentation)</t>
  </si>
  <si>
    <t>Determination of the SWeRFcs of the sample by sedimentation</t>
  </si>
  <si>
    <t>MFrac.Tot.</t>
  </si>
  <si>
    <t xml:space="preserve">S = </t>
  </si>
  <si>
    <t xml:space="preserve">Particle size from small (top) to large (bottom). Replace the blue numbers in the yellow cells with your own results. Use only a cumulative  size distribution.  </t>
  </si>
  <si>
    <t xml:space="preserve">The blue curve (Total) represents the cumulative size </t>
  </si>
  <si>
    <t>sample.</t>
  </si>
  <si>
    <t>distribution of the sample.</t>
  </si>
  <si>
    <t xml:space="preserve">The green curve (SWeRF) represents the cumulative </t>
  </si>
  <si>
    <t>Class Diameter</t>
  </si>
  <si>
    <t xml:space="preserve">EN 481 </t>
  </si>
  <si>
    <t>Probability distribution</t>
  </si>
  <si>
    <t>Sample weight =</t>
  </si>
  <si>
    <t>g</t>
  </si>
  <si>
    <t xml:space="preserve">The black curve (Total) represents the density distribution of </t>
  </si>
  <si>
    <t>all the particles of the sample.</t>
  </si>
  <si>
    <t>fraction in the sample as calculated according to EN 481.</t>
  </si>
  <si>
    <t xml:space="preserve">The red curve (Sedimentation) represents the distribution </t>
  </si>
  <si>
    <t>after sedimentation.</t>
  </si>
  <si>
    <t xml:space="preserve">of the particles that remain in the supernatant </t>
  </si>
  <si>
    <t>The red curve (Sedimentation) represents the  cumulative</t>
  </si>
  <si>
    <t xml:space="preserve">amount of the particles that remain in the supernatant </t>
  </si>
  <si>
    <t>Temperature of the liquid =</t>
  </si>
  <si>
    <t>°C</t>
  </si>
  <si>
    <t>data entry cell</t>
  </si>
  <si>
    <t>The green curve (SWeRF) represents the fine</t>
  </si>
  <si>
    <t xml:space="preserve">(size weighted) amount of fine fraction particles in the </t>
  </si>
  <si>
    <t>D10</t>
  </si>
  <si>
    <t>D50</t>
  </si>
  <si>
    <t>D90</t>
  </si>
  <si>
    <t>h=</t>
  </si>
  <si>
    <r>
      <t>SWeRF</t>
    </r>
    <r>
      <rPr>
        <b/>
        <vertAlign val="subscript"/>
        <sz val="11"/>
        <color indexed="17"/>
        <rFont val="Verdana"/>
        <family val="2"/>
      </rPr>
      <t>sed</t>
    </r>
    <r>
      <rPr>
        <b/>
        <sz val="11"/>
        <color indexed="17"/>
        <rFont val="Verdana"/>
        <family val="2"/>
      </rPr>
      <t xml:space="preserve"> =</t>
    </r>
  </si>
  <si>
    <t>Calc. residue in supernatant =</t>
  </si>
  <si>
    <t>When the size distribution and the sedimentation are correctly done, the</t>
  </si>
  <si>
    <t>is different from the cryst. silica also the time of sedimentation is different.</t>
  </si>
  <si>
    <t xml:space="preserve">It is the responsibility of the user of this document to determine which method represents the sample the most accurately with regard to its </t>
  </si>
  <si>
    <t>Verification:</t>
  </si>
  <si>
    <t>sedimentation should be small. Please note that when density of the sample</t>
  </si>
  <si>
    <t>difference between the calculated residue and residue recovered by</t>
  </si>
  <si>
    <t>Comparison between sedimentation and calculated residue</t>
  </si>
  <si>
    <t>kg/m3</t>
  </si>
  <si>
    <t>m2/g</t>
  </si>
  <si>
    <t>*10-3 kg/m*s</t>
  </si>
  <si>
    <t>Supernatant residue (density of sample)</t>
  </si>
  <si>
    <t>SWeRFsed =</t>
  </si>
  <si>
    <t>Please enter your own data in the cells with this layout. The values in this sheet are only an example.</t>
  </si>
  <si>
    <t>Enter the density of the crystalline silica.</t>
  </si>
  <si>
    <t>determined by drying.</t>
  </si>
  <si>
    <t>time of sedimentation.</t>
  </si>
  <si>
    <t xml:space="preserve"> to allow for an undisturbed separation of the supernatant (top layer).</t>
  </si>
  <si>
    <t>Enter the dimensions of the used sedimentation column. Make sure that the column is high enough</t>
  </si>
  <si>
    <t>Enter the viscosity and the density of the fluid that is used for the sedimentation.</t>
  </si>
  <si>
    <t>After sedimentation for the required time, the supernatant is removed and the amount of residue determined by</t>
  </si>
  <si>
    <t>drying. In this residue the concentration of crystalline silica has to be determined and entered here.</t>
  </si>
  <si>
    <t>Guide for using to the calculation, sedimentation excel sheet.</t>
  </si>
  <si>
    <t xml:space="preserve">The SWeRFcs (the SWeRF of the crystalline silica in the sample) is calculated using the PSD [1] of the sample, </t>
  </si>
  <si>
    <t>The SWeRFcs is calculated using the amount of residue and the concentration of cs in the residue.</t>
  </si>
  <si>
    <t>Specific surface is calculated using the PSD [1] the density[5] and the assumption particles are spheres.</t>
  </si>
  <si>
    <t xml:space="preserve"> the density of the CS [6] and the content of CS determined in the sample [7].</t>
  </si>
  <si>
    <t xml:space="preserve">In order to determine the SWeRFcs (sedimentation), the density of the crystalline silica [6] is used to determine the </t>
  </si>
  <si>
    <t xml:space="preserve">After sedimentation for the required time [16], the supernatant is removed and the amount of residue </t>
  </si>
  <si>
    <t xml:space="preserve"> sedimentation [16].</t>
  </si>
  <si>
    <t>If the difference with SWeRFsed [18] is too large both methods of PSD and sedimentation should be investigated.</t>
  </si>
  <si>
    <r>
      <t xml:space="preserve">Use a </t>
    </r>
    <r>
      <rPr>
        <b/>
        <sz val="12"/>
        <color indexed="8"/>
        <rFont val="Verdana"/>
        <family val="2"/>
      </rPr>
      <t>cumulative</t>
    </r>
    <r>
      <rPr>
        <sz val="12"/>
        <color indexed="8"/>
        <rFont val="Verdana"/>
        <family val="2"/>
      </rPr>
      <t xml:space="preserve"> particle size distribution (PSD) and start with the lowest diameter (but not zero).</t>
    </r>
  </si>
  <si>
    <t xml:space="preserve">For the verification the time of sedimentation is calculated using the density [5] of the sample (not the crystalline silica) </t>
  </si>
  <si>
    <t>CS in residue of the supernatant</t>
  </si>
  <si>
    <t>behaviour in air. Use the same sample preparation method for determination of the size distribution as for the sedimentation.</t>
  </si>
  <si>
    <t>The SWeRF of the sample as determined by sedimentation is calculated using the above data [17 ] and [12].</t>
  </si>
  <si>
    <t>Notes</t>
  </si>
  <si>
    <t>Enter the density of the sample.</t>
  </si>
  <si>
    <t>Enter the amount (%) of crystalline silica in the sample (not the residue).</t>
  </si>
  <si>
    <t>The residue in the supernatant is calculated using the PSD [1], the density of the whole sample [5] and the time of</t>
  </si>
  <si>
    <t>9&amp;19</t>
  </si>
  <si>
    <t xml:space="preserve">When the difference between [18] and [19] is small, this means that the CS does not have the same PSD as the </t>
  </si>
  <si>
    <t xml:space="preserve">SWeRFcs (calc) [9] and SWeRFcs (Sed) [19] can be different. When this is the case a verification should be done. </t>
  </si>
  <si>
    <t>rest of the sample and SWeRFcs should better be determined using sedimentation.</t>
  </si>
  <si>
    <t>Rel.span*</t>
  </si>
  <si>
    <t>R.span*</t>
  </si>
  <si>
    <t>R.span</t>
  </si>
  <si>
    <t>separated column height =</t>
  </si>
  <si>
    <t>Liquid column height=</t>
  </si>
  <si>
    <t>Enter a number (&gt;0 and &lt;100) to calculate a percentage point (e.g. D50)</t>
  </si>
  <si>
    <t>Enter the weight of the sample. To ensure unhindered sedimentation the volume of solids should be maximum 0.2 %</t>
  </si>
  <si>
    <t>(or e.g. maximum 0.5% for a material with density of 2500 kg/m3)</t>
  </si>
  <si>
    <r>
      <t>Supernatant residue (</t>
    </r>
    <r>
      <rPr>
        <sz val="10"/>
        <color indexed="8"/>
        <rFont val="Verdana"/>
        <family val="2"/>
      </rPr>
      <t>with density of CS</t>
    </r>
    <r>
      <rPr>
        <sz val="11"/>
        <color indexed="8"/>
        <rFont val="Verdana"/>
        <family val="2"/>
      </rPr>
      <t>)</t>
    </r>
  </si>
  <si>
    <t>Supernatant residue</t>
  </si>
  <si>
    <t>When water is used the viscosity and density are automatically calculated using the water temperature.</t>
  </si>
  <si>
    <t xml:space="preserve"> PSD. *Instead of D50, the geometric mean of D10 and D90 is used in order to prevent the effect of skewness</t>
  </si>
  <si>
    <t>regard to its behaviour in air.</t>
  </si>
  <si>
    <t>Sample……</t>
  </si>
  <si>
    <t>Extra sample information…..</t>
  </si>
  <si>
    <t>is different from the cryst. Silica, also the time of sedimentation is different.</t>
  </si>
  <si>
    <t>Relative span* is calculated from the PSD. A low span indicates a narrow PSD, while a high span indicates a wide</t>
  </si>
  <si>
    <t>A method of analysis of the PSD should be chosen that represents the sample the most accurately with</t>
  </si>
  <si>
    <t>Use the physical diameters. Based on the given density ([5] [6]) the diameters will be converted to aerodynamic diameters.</t>
  </si>
  <si>
    <t>The SWeRF (of the total sample) is calculated based on EN 481, the PSD [1] and the density of the sample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</si>
</sst>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_)"/>
    <numFmt numFmtId="165" formatCode="0.0"/>
    <numFmt numFmtId="166" formatCode="0.000"/>
    <numFmt numFmtId="167" formatCode="[h]:mm"/>
    <numFmt numFmtId="168" formatCode="0.0_)"/>
    <numFmt numFmtId="169" formatCode="0_)"/>
    <numFmt numFmtId="170" formatCode="0.000_)"/>
    <numFmt numFmtId="171" formatCode="dd/mm/yyyy;@"/>
    <numFmt numFmtId="172" formatCode="0.0000"/>
  </numFmts>
  <fonts count="62" x14ac:knownFonts="1">
    <font>
      <sz val="10"/>
      <name val="Arial"/>
    </font>
    <font>
      <b/>
      <sz val="12"/>
      <color indexed="16"/>
      <name val="Arial"/>
      <family val="2"/>
    </font>
    <font>
      <sz val="12"/>
      <color indexed="16"/>
      <name val="Arial"/>
      <family val="2"/>
    </font>
    <font>
      <sz val="10"/>
      <color indexed="17"/>
      <name val="Arial"/>
      <family val="2"/>
    </font>
    <font>
      <b/>
      <sz val="12"/>
      <color indexed="17"/>
      <name val="Arial"/>
      <family val="2"/>
    </font>
    <font>
      <b/>
      <sz val="11"/>
      <color indexed="17"/>
      <name val="Arial"/>
      <family val="2"/>
    </font>
    <font>
      <b/>
      <sz val="10"/>
      <color indexed="17"/>
      <name val="Arial"/>
      <family val="2"/>
    </font>
    <font>
      <b/>
      <sz val="12"/>
      <name val="Arial"/>
      <family val="2"/>
    </font>
    <font>
      <b/>
      <vertAlign val="subscript"/>
      <sz val="10"/>
      <color indexed="17"/>
      <name val="Arial"/>
      <family val="2"/>
    </font>
    <font>
      <b/>
      <sz val="14"/>
      <color indexed="8"/>
      <name val="Arial"/>
      <family val="2"/>
    </font>
    <font>
      <sz val="10"/>
      <color indexed="8"/>
      <name val="Arial"/>
      <family val="2"/>
    </font>
    <font>
      <sz val="14"/>
      <color indexed="8"/>
      <name val="Arial"/>
      <family val="2"/>
    </font>
    <font>
      <b/>
      <sz val="10"/>
      <color indexed="8"/>
      <name val="Arial"/>
      <family val="2"/>
    </font>
    <font>
      <b/>
      <sz val="12"/>
      <color indexed="8"/>
      <name val="Arial"/>
      <family val="2"/>
    </font>
    <font>
      <b/>
      <sz val="11"/>
      <color indexed="8"/>
      <name val="Arial"/>
      <family val="2"/>
    </font>
    <font>
      <sz val="12"/>
      <color indexed="8"/>
      <name val="Arial"/>
      <family val="2"/>
    </font>
    <font>
      <b/>
      <sz val="12"/>
      <color indexed="12"/>
      <name val="Verdana"/>
      <family val="2"/>
    </font>
    <font>
      <sz val="10"/>
      <name val="Verdana"/>
      <family val="2"/>
    </font>
    <font>
      <sz val="11"/>
      <name val="Verdana"/>
      <family val="2"/>
    </font>
    <font>
      <b/>
      <sz val="11"/>
      <name val="Verdana"/>
      <family val="2"/>
    </font>
    <font>
      <vertAlign val="superscript"/>
      <sz val="11"/>
      <name val="Verdana"/>
      <family val="2"/>
    </font>
    <font>
      <b/>
      <sz val="14"/>
      <name val="Verdana"/>
      <family val="2"/>
    </font>
    <font>
      <b/>
      <sz val="11"/>
      <color indexed="12"/>
      <name val="Verdana"/>
      <family val="2"/>
    </font>
    <font>
      <sz val="11"/>
      <color indexed="81"/>
      <name val="Verdana"/>
      <family val="2"/>
    </font>
    <font>
      <b/>
      <sz val="11"/>
      <color indexed="48"/>
      <name val="Verdana"/>
      <family val="2"/>
    </font>
    <font>
      <b/>
      <sz val="12"/>
      <name val="Verdana"/>
      <family val="2"/>
    </font>
    <font>
      <b/>
      <sz val="10"/>
      <name val="Verdana"/>
      <family val="2"/>
    </font>
    <font>
      <sz val="10"/>
      <color indexed="12"/>
      <name val="Verdana"/>
      <family val="2"/>
    </font>
    <font>
      <b/>
      <u/>
      <sz val="10"/>
      <name val="Verdana"/>
      <family val="2"/>
    </font>
    <font>
      <b/>
      <sz val="11"/>
      <color indexed="17"/>
      <name val="Verdana"/>
      <family val="2"/>
    </font>
    <font>
      <b/>
      <vertAlign val="subscript"/>
      <sz val="14"/>
      <color indexed="17"/>
      <name val="Verdana"/>
      <family val="2"/>
    </font>
    <font>
      <b/>
      <sz val="10"/>
      <name val="Arial"/>
      <family val="2"/>
    </font>
    <font>
      <sz val="14"/>
      <name val="Verdana"/>
      <family val="2"/>
    </font>
    <font>
      <sz val="12"/>
      <color indexed="12"/>
      <name val="Verdana"/>
      <family val="2"/>
    </font>
    <font>
      <sz val="10"/>
      <color indexed="12"/>
      <name val="Arial"/>
      <family val="2"/>
    </font>
    <font>
      <b/>
      <sz val="36"/>
      <color indexed="17"/>
      <name val="Monotype Corsiva"/>
      <family val="4"/>
    </font>
    <font>
      <sz val="10"/>
      <name val="Arial"/>
      <family val="2"/>
    </font>
    <font>
      <sz val="11"/>
      <color indexed="8"/>
      <name val="Verdana"/>
      <family val="2"/>
    </font>
    <font>
      <b/>
      <sz val="10"/>
      <color indexed="12"/>
      <name val="Arial"/>
      <family val="2"/>
    </font>
    <font>
      <b/>
      <sz val="11"/>
      <color indexed="12"/>
      <name val="Arial"/>
      <family val="2"/>
    </font>
    <font>
      <sz val="12"/>
      <color indexed="81"/>
      <name val="Tahoma"/>
      <family val="2"/>
    </font>
    <font>
      <b/>
      <sz val="12"/>
      <color indexed="12"/>
      <name val="Arial"/>
      <family val="2"/>
    </font>
    <font>
      <b/>
      <vertAlign val="subscript"/>
      <sz val="16"/>
      <color indexed="48"/>
      <name val="Verdana"/>
      <family val="2"/>
    </font>
    <font>
      <sz val="36"/>
      <name val="Monotype Corsiva"/>
      <family val="4"/>
    </font>
    <font>
      <sz val="11"/>
      <color indexed="81"/>
      <name val="Tahoma"/>
      <family val="2"/>
    </font>
    <font>
      <b/>
      <sz val="12"/>
      <color indexed="81"/>
      <name val="Tahoma"/>
      <family val="2"/>
    </font>
    <font>
      <b/>
      <vertAlign val="subscript"/>
      <sz val="11"/>
      <color indexed="17"/>
      <name val="Verdana"/>
      <family val="2"/>
    </font>
    <font>
      <sz val="12"/>
      <color indexed="8"/>
      <name val="Verdana"/>
      <family val="2"/>
    </font>
    <font>
      <b/>
      <sz val="12"/>
      <color indexed="8"/>
      <name val="Verdana"/>
      <family val="2"/>
    </font>
    <font>
      <sz val="10"/>
      <color indexed="81"/>
      <name val="Verdana"/>
      <family val="2"/>
    </font>
    <font>
      <sz val="10"/>
      <color indexed="8"/>
      <name val="Verdana"/>
      <family val="2"/>
    </font>
    <font>
      <b/>
      <sz val="11"/>
      <color rgb="FFFF0000"/>
      <name val="Verdana"/>
      <family val="2"/>
    </font>
    <font>
      <sz val="10"/>
      <color rgb="FF008000"/>
      <name val="Verdana"/>
      <family val="2"/>
    </font>
    <font>
      <b/>
      <sz val="11"/>
      <color rgb="FF008000"/>
      <name val="Verdana"/>
      <family val="2"/>
    </font>
    <font>
      <sz val="10"/>
      <color rgb="FFFF0000"/>
      <name val="Verdana"/>
      <family val="2"/>
    </font>
    <font>
      <b/>
      <sz val="11"/>
      <color rgb="FF3366FF"/>
      <name val="Verdana"/>
      <family val="2"/>
    </font>
    <font>
      <b/>
      <u/>
      <sz val="11"/>
      <color theme="1"/>
      <name val="Verdana"/>
      <family val="2"/>
    </font>
    <font>
      <sz val="12"/>
      <color rgb="FF000000"/>
      <name val="Verdana"/>
      <family val="2"/>
    </font>
    <font>
      <sz val="12"/>
      <color theme="1"/>
      <name val="Verdana"/>
      <family val="2"/>
    </font>
    <font>
      <sz val="12"/>
      <color theme="1"/>
      <name val="Calibri"/>
      <family val="2"/>
      <scheme val="minor"/>
    </font>
    <font>
      <sz val="11"/>
      <color theme="1"/>
      <name val="Verdana"/>
      <family val="2"/>
    </font>
    <font>
      <b/>
      <sz val="11"/>
      <color theme="1"/>
      <name val="Verdana"/>
      <family val="2"/>
    </font>
  </fonts>
  <fills count="5">
    <fill>
      <patternFill patternType="none"/>
    </fill>
    <fill>
      <patternFill patternType="gray125"/>
    </fill>
    <fill>
      <patternFill patternType="solid">
        <fgColor indexed="26"/>
        <bgColor indexed="64"/>
      </patternFill>
    </fill>
    <fill>
      <patternFill patternType="solid">
        <fgColor indexed="9"/>
        <bgColor indexed="64"/>
      </patternFill>
    </fill>
    <fill>
      <patternFill patternType="solid">
        <fgColor indexed="26"/>
        <bgColor indexed="41"/>
      </patternFill>
    </fill>
  </fills>
  <borders count="65">
    <border>
      <left/>
      <right/>
      <top/>
      <bottom/>
      <diagonal/>
    </border>
    <border>
      <left style="thin">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right/>
      <top style="thin">
        <color indexed="64"/>
      </top>
      <bottom/>
      <diagonal/>
    </border>
    <border>
      <left/>
      <right style="thin">
        <color indexed="64"/>
      </right>
      <top/>
      <bottom/>
      <diagonal/>
    </border>
    <border>
      <left/>
      <right style="thin">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9" fontId="36" fillId="0" borderId="0" applyFont="0" applyFill="0" applyBorder="0" applyAlignment="0" applyProtection="0"/>
  </cellStyleXfs>
  <cellXfs count="398">
    <xf numFmtId="0" fontId="0" fillId="0" borderId="0" xfId="0"/>
    <xf numFmtId="0" fontId="0" fillId="0" borderId="0" xfId="0" applyBorder="1"/>
    <xf numFmtId="0" fontId="0" fillId="0" borderId="0" xfId="0" applyFill="1" applyBorder="1"/>
    <xf numFmtId="0" fontId="1" fillId="0" borderId="0" xfId="0" applyFont="1" applyFill="1" applyBorder="1" applyAlignment="1">
      <alignment horizontal="right"/>
    </xf>
    <xf numFmtId="0" fontId="1" fillId="0" borderId="0" xfId="0" applyFont="1" applyFill="1" applyBorder="1"/>
    <xf numFmtId="0" fontId="2" fillId="0" borderId="0" xfId="0" applyFont="1" applyFill="1" applyBorder="1"/>
    <xf numFmtId="2" fontId="3" fillId="0" borderId="1" xfId="0" applyNumberFormat="1" applyFont="1" applyBorder="1" applyAlignment="1">
      <alignment horizontal="center"/>
    </xf>
    <xf numFmtId="0" fontId="6" fillId="0" borderId="2" xfId="0" applyFont="1" applyBorder="1" applyAlignment="1">
      <alignment horizontal="center"/>
    </xf>
    <xf numFmtId="2" fontId="7" fillId="0" borderId="0" xfId="0" applyNumberFormat="1" applyFont="1" applyFill="1" applyBorder="1" applyAlignment="1">
      <alignment horizontal="right"/>
    </xf>
    <xf numFmtId="2" fontId="3" fillId="0" borderId="3" xfId="0" applyNumberFormat="1" applyFont="1" applyBorder="1" applyProtection="1"/>
    <xf numFmtId="0" fontId="6" fillId="0" borderId="4" xfId="0" applyFont="1" applyBorder="1" applyAlignment="1">
      <alignment horizontal="center"/>
    </xf>
    <xf numFmtId="2" fontId="6" fillId="0" borderId="5" xfId="0" applyNumberFormat="1" applyFont="1" applyBorder="1" applyAlignment="1">
      <alignment horizontal="center"/>
    </xf>
    <xf numFmtId="0" fontId="6" fillId="0" borderId="6" xfId="0" applyFont="1" applyBorder="1" applyAlignment="1">
      <alignment horizontal="center"/>
    </xf>
    <xf numFmtId="2" fontId="6" fillId="0" borderId="3" xfId="0" applyNumberFormat="1" applyFont="1" applyBorder="1" applyAlignment="1">
      <alignment horizontal="center"/>
    </xf>
    <xf numFmtId="0" fontId="6" fillId="0" borderId="1" xfId="0" applyFont="1" applyBorder="1" applyAlignment="1">
      <alignment horizontal="center"/>
    </xf>
    <xf numFmtId="0" fontId="6" fillId="0" borderId="7" xfId="0" applyFont="1" applyFill="1" applyBorder="1" applyAlignment="1">
      <alignment horizontal="center"/>
    </xf>
    <xf numFmtId="0" fontId="6" fillId="0" borderId="8" xfId="0" applyFont="1" applyFill="1" applyBorder="1" applyAlignment="1">
      <alignment horizontal="center"/>
    </xf>
    <xf numFmtId="0" fontId="6" fillId="0" borderId="9" xfId="0" applyFont="1" applyFill="1" applyBorder="1" applyAlignment="1">
      <alignment horizontal="center"/>
    </xf>
    <xf numFmtId="0" fontId="9" fillId="0" borderId="10" xfId="0" applyFont="1" applyBorder="1" applyAlignment="1">
      <alignment horizontal="centerContinuous"/>
    </xf>
    <xf numFmtId="0" fontId="10" fillId="0" borderId="11" xfId="0" applyFont="1" applyBorder="1" applyAlignment="1">
      <alignment horizontal="centerContinuous"/>
    </xf>
    <xf numFmtId="0" fontId="11" fillId="0" borderId="11" xfId="0" applyFont="1" applyBorder="1" applyAlignment="1">
      <alignment horizontal="centerContinuous"/>
    </xf>
    <xf numFmtId="2" fontId="11" fillId="0" borderId="11" xfId="0" applyNumberFormat="1" applyFont="1" applyBorder="1" applyAlignment="1">
      <alignment horizontal="centerContinuous"/>
    </xf>
    <xf numFmtId="0" fontId="10" fillId="0" borderId="12" xfId="0" applyFont="1" applyBorder="1" applyAlignment="1">
      <alignment horizontal="centerContinuous"/>
    </xf>
    <xf numFmtId="2" fontId="12" fillId="0" borderId="4" xfId="0" applyNumberFormat="1" applyFont="1" applyBorder="1" applyAlignment="1">
      <alignment horizontal="center"/>
    </xf>
    <xf numFmtId="0" fontId="12" fillId="0" borderId="4" xfId="0" applyFont="1" applyBorder="1" applyAlignment="1" applyProtection="1">
      <alignment horizontal="center"/>
    </xf>
    <xf numFmtId="2" fontId="10" fillId="0" borderId="13" xfId="0" applyNumberFormat="1" applyFont="1" applyBorder="1" applyAlignment="1">
      <alignment horizontal="center"/>
    </xf>
    <xf numFmtId="2" fontId="12" fillId="0" borderId="2" xfId="0" applyNumberFormat="1" applyFont="1" applyBorder="1" applyAlignment="1">
      <alignment horizontal="center"/>
    </xf>
    <xf numFmtId="0" fontId="12" fillId="0" borderId="2" xfId="0" applyFont="1" applyBorder="1" applyAlignment="1" applyProtection="1">
      <alignment horizontal="center"/>
    </xf>
    <xf numFmtId="0" fontId="12" fillId="0" borderId="7" xfId="0" applyFont="1" applyBorder="1"/>
    <xf numFmtId="0" fontId="12" fillId="0" borderId="7" xfId="0" applyFont="1" applyBorder="1" applyAlignment="1">
      <alignment horizontal="center"/>
    </xf>
    <xf numFmtId="0" fontId="12" fillId="0" borderId="9" xfId="0" applyFont="1" applyBorder="1"/>
    <xf numFmtId="2" fontId="10" fillId="0" borderId="14" xfId="0" applyNumberFormat="1" applyFont="1" applyBorder="1" applyAlignment="1">
      <alignment horizontal="center"/>
    </xf>
    <xf numFmtId="2" fontId="10" fillId="0" borderId="0" xfId="0" applyNumberFormat="1" applyFont="1" applyBorder="1" applyAlignment="1" applyProtection="1">
      <alignment horizontal="center"/>
    </xf>
    <xf numFmtId="2" fontId="10" fillId="0" borderId="2" xfId="0" applyNumberFormat="1" applyFont="1" applyBorder="1" applyAlignment="1">
      <alignment horizontal="center"/>
    </xf>
    <xf numFmtId="164" fontId="10" fillId="0" borderId="14" xfId="0" applyNumberFormat="1" applyFont="1" applyBorder="1" applyAlignment="1" applyProtection="1">
      <alignment horizontal="center"/>
    </xf>
    <xf numFmtId="164" fontId="10" fillId="0" borderId="2" xfId="0" applyNumberFormat="1" applyFont="1" applyBorder="1" applyAlignment="1" applyProtection="1">
      <alignment horizontal="center"/>
    </xf>
    <xf numFmtId="2" fontId="10" fillId="0" borderId="15" xfId="0" applyNumberFormat="1" applyFont="1" applyBorder="1" applyProtection="1"/>
    <xf numFmtId="0" fontId="13" fillId="0" borderId="10" xfId="0" applyFont="1" applyBorder="1" applyAlignment="1">
      <alignment horizontal="centerContinuous"/>
    </xf>
    <xf numFmtId="0" fontId="13" fillId="0" borderId="11" xfId="0" applyFont="1" applyBorder="1" applyAlignment="1">
      <alignment horizontal="centerContinuous"/>
    </xf>
    <xf numFmtId="0" fontId="13" fillId="0" borderId="12" xfId="0" applyFont="1" applyBorder="1" applyAlignment="1">
      <alignment horizontal="centerContinuous"/>
    </xf>
    <xf numFmtId="0" fontId="12" fillId="0" borderId="16" xfId="0" applyFont="1" applyBorder="1" applyAlignment="1">
      <alignment horizontal="center"/>
    </xf>
    <xf numFmtId="0" fontId="12" fillId="0" borderId="4" xfId="0" applyFont="1" applyBorder="1" applyAlignment="1">
      <alignment horizontal="center"/>
    </xf>
    <xf numFmtId="2" fontId="12" fillId="0" borderId="6" xfId="0" applyNumberFormat="1" applyFont="1" applyBorder="1" applyAlignment="1">
      <alignment horizontal="center"/>
    </xf>
    <xf numFmtId="2" fontId="12" fillId="0" borderId="5" xfId="0" applyNumberFormat="1" applyFont="1" applyBorder="1" applyAlignment="1">
      <alignment horizontal="center"/>
    </xf>
    <xf numFmtId="0" fontId="12" fillId="0" borderId="13" xfId="0" applyFont="1" applyBorder="1" applyAlignment="1">
      <alignment horizontal="center"/>
    </xf>
    <xf numFmtId="0" fontId="12" fillId="0" borderId="2" xfId="0" applyFont="1" applyBorder="1" applyAlignment="1">
      <alignment horizontal="center"/>
    </xf>
    <xf numFmtId="2" fontId="12" fillId="0" borderId="1" xfId="0" applyNumberFormat="1" applyFont="1" applyBorder="1" applyAlignment="1">
      <alignment horizontal="center"/>
    </xf>
    <xf numFmtId="2" fontId="12" fillId="0" borderId="3" xfId="0" applyNumberFormat="1" applyFont="1" applyBorder="1" applyAlignment="1">
      <alignment horizontal="center"/>
    </xf>
    <xf numFmtId="0" fontId="12" fillId="0" borderId="17" xfId="0" applyFont="1" applyBorder="1" applyAlignment="1">
      <alignment horizontal="center"/>
    </xf>
    <xf numFmtId="2" fontId="12" fillId="0" borderId="8" xfId="0" applyNumberFormat="1" applyFont="1" applyBorder="1" applyAlignment="1">
      <alignment horizontal="center"/>
    </xf>
    <xf numFmtId="2" fontId="12" fillId="0" borderId="9" xfId="0" applyNumberFormat="1" applyFont="1" applyBorder="1" applyAlignment="1">
      <alignment horizontal="center"/>
    </xf>
    <xf numFmtId="2" fontId="10" fillId="0" borderId="0" xfId="0" applyNumberFormat="1" applyFont="1" applyBorder="1" applyAlignment="1">
      <alignment horizontal="center"/>
    </xf>
    <xf numFmtId="164" fontId="10" fillId="0" borderId="1" xfId="0" applyNumberFormat="1" applyFont="1" applyBorder="1" applyAlignment="1" applyProtection="1">
      <alignment horizontal="center"/>
    </xf>
    <xf numFmtId="2" fontId="10" fillId="0" borderId="3" xfId="0" applyNumberFormat="1" applyFont="1" applyBorder="1" applyProtection="1"/>
    <xf numFmtId="0" fontId="4" fillId="0" borderId="18" xfId="0" applyFont="1" applyBorder="1" applyAlignment="1"/>
    <xf numFmtId="0" fontId="4" fillId="0" borderId="11" xfId="0" applyFont="1" applyBorder="1" applyAlignment="1"/>
    <xf numFmtId="0" fontId="4" fillId="0" borderId="11" xfId="0" applyFont="1" applyBorder="1" applyAlignment="1">
      <alignment horizontal="left"/>
    </xf>
    <xf numFmtId="0" fontId="0" fillId="0" borderId="2" xfId="0" applyBorder="1"/>
    <xf numFmtId="2" fontId="0" fillId="0" borderId="2" xfId="0" applyNumberFormat="1" applyBorder="1"/>
    <xf numFmtId="0" fontId="3" fillId="0" borderId="14" xfId="0" applyFont="1" applyBorder="1"/>
    <xf numFmtId="165" fontId="0" fillId="0" borderId="14" xfId="0" applyNumberFormat="1" applyBorder="1"/>
    <xf numFmtId="2" fontId="0" fillId="0" borderId="15" xfId="0" applyNumberFormat="1" applyBorder="1"/>
    <xf numFmtId="0" fontId="7" fillId="0" borderId="10" xfId="0" applyFont="1" applyBorder="1" applyAlignment="1">
      <alignment horizontal="centerContinuous"/>
    </xf>
    <xf numFmtId="0" fontId="7" fillId="0" borderId="11" xfId="0" applyFont="1" applyBorder="1" applyAlignment="1">
      <alignment horizontal="centerContinuous"/>
    </xf>
    <xf numFmtId="0" fontId="7" fillId="0" borderId="12" xfId="0" applyFont="1" applyBorder="1" applyAlignment="1">
      <alignment horizontal="centerContinuous"/>
    </xf>
    <xf numFmtId="0" fontId="0" fillId="0" borderId="19" xfId="0" applyBorder="1"/>
    <xf numFmtId="0" fontId="0" fillId="0" borderId="4" xfId="0" applyBorder="1"/>
    <xf numFmtId="0" fontId="0" fillId="0" borderId="18" xfId="0" applyBorder="1"/>
    <xf numFmtId="0" fontId="0" fillId="0" borderId="20" xfId="0" applyBorder="1"/>
    <xf numFmtId="0" fontId="6" fillId="0" borderId="21" xfId="0" applyFont="1" applyBorder="1" applyAlignment="1">
      <alignment horizontal="center"/>
    </xf>
    <xf numFmtId="0" fontId="6" fillId="0" borderId="7" xfId="0" applyFont="1" applyBorder="1" applyAlignment="1">
      <alignment horizontal="center"/>
    </xf>
    <xf numFmtId="0" fontId="6" fillId="0" borderId="22" xfId="0" applyFont="1" applyBorder="1" applyAlignment="1">
      <alignment horizontal="center"/>
    </xf>
    <xf numFmtId="0" fontId="6" fillId="0" borderId="19" xfId="0" applyFont="1" applyBorder="1"/>
    <xf numFmtId="0" fontId="6" fillId="0" borderId="18" xfId="0" applyFont="1" applyBorder="1" applyAlignment="1">
      <alignment horizontal="right"/>
    </xf>
    <xf numFmtId="0" fontId="6" fillId="0" borderId="20" xfId="0" applyFont="1" applyBorder="1" applyAlignment="1">
      <alignment horizontal="left"/>
    </xf>
    <xf numFmtId="0" fontId="6" fillId="0" borderId="21" xfId="0" applyFont="1" applyBorder="1"/>
    <xf numFmtId="2" fontId="10" fillId="0" borderId="2" xfId="0" applyNumberFormat="1" applyFont="1" applyBorder="1" applyAlignment="1" applyProtection="1">
      <alignment horizontal="center"/>
    </xf>
    <xf numFmtId="0" fontId="10" fillId="0" borderId="4" xfId="0" applyFont="1" applyBorder="1" applyAlignment="1" applyProtection="1">
      <alignment horizontal="center"/>
    </xf>
    <xf numFmtId="0" fontId="3" fillId="0" borderId="0" xfId="0" applyFont="1" applyBorder="1" applyAlignment="1">
      <alignment horizontal="center"/>
    </xf>
    <xf numFmtId="0" fontId="5" fillId="0" borderId="19" xfId="0" applyFont="1" applyFill="1" applyBorder="1" applyAlignment="1">
      <alignment horizontal="center"/>
    </xf>
    <xf numFmtId="0" fontId="5" fillId="0" borderId="6" xfId="0" applyFont="1" applyFill="1" applyBorder="1" applyAlignment="1">
      <alignment horizontal="center"/>
    </xf>
    <xf numFmtId="0" fontId="5" fillId="0" borderId="5" xfId="0" applyFont="1" applyFill="1" applyBorder="1" applyAlignment="1">
      <alignment horizontal="center"/>
    </xf>
    <xf numFmtId="2" fontId="3" fillId="0" borderId="14" xfId="0" applyNumberFormat="1" applyFont="1" applyBorder="1" applyAlignment="1">
      <alignment horizontal="center"/>
    </xf>
    <xf numFmtId="2" fontId="3" fillId="0" borderId="8" xfId="0" applyNumberFormat="1" applyFont="1" applyBorder="1" applyAlignment="1">
      <alignment horizontal="center"/>
    </xf>
    <xf numFmtId="2" fontId="3" fillId="0" borderId="9" xfId="0" applyNumberFormat="1" applyFont="1" applyBorder="1" applyProtection="1"/>
    <xf numFmtId="165" fontId="0" fillId="0" borderId="21" xfId="0" applyNumberFormat="1" applyBorder="1"/>
    <xf numFmtId="2" fontId="0" fillId="0" borderId="7" xfId="0" applyNumberFormat="1" applyBorder="1"/>
    <xf numFmtId="2" fontId="0" fillId="0" borderId="22" xfId="0" applyNumberFormat="1" applyBorder="1"/>
    <xf numFmtId="164" fontId="13" fillId="0" borderId="0" xfId="0" applyNumberFormat="1" applyFont="1" applyBorder="1" applyAlignment="1" applyProtection="1">
      <alignment horizontal="center"/>
    </xf>
    <xf numFmtId="0" fontId="10" fillId="0" borderId="0" xfId="0" applyFont="1" applyBorder="1"/>
    <xf numFmtId="0" fontId="15" fillId="0" borderId="0" xfId="0" applyFont="1" applyBorder="1" applyAlignment="1">
      <alignment horizontal="center"/>
    </xf>
    <xf numFmtId="0" fontId="10" fillId="0" borderId="0" xfId="0" applyFont="1" applyBorder="1" applyAlignment="1" applyProtection="1">
      <alignment horizontal="center"/>
    </xf>
    <xf numFmtId="2" fontId="10" fillId="0" borderId="16" xfId="0" applyNumberFormat="1" applyFont="1" applyBorder="1" applyAlignment="1" applyProtection="1">
      <alignment horizontal="center"/>
    </xf>
    <xf numFmtId="2" fontId="10" fillId="0" borderId="18" xfId="0" applyNumberFormat="1" applyFont="1" applyBorder="1" applyAlignment="1" applyProtection="1">
      <alignment horizontal="center"/>
    </xf>
    <xf numFmtId="2" fontId="10" fillId="0" borderId="4" xfId="0" applyNumberFormat="1" applyFont="1" applyBorder="1" applyAlignment="1">
      <alignment horizontal="center"/>
    </xf>
    <xf numFmtId="0" fontId="10" fillId="0" borderId="20" xfId="0" applyFont="1" applyBorder="1"/>
    <xf numFmtId="0" fontId="14" fillId="0" borderId="18" xfId="0" applyFont="1" applyBorder="1" applyAlignment="1">
      <alignment horizontal="center"/>
    </xf>
    <xf numFmtId="0" fontId="14" fillId="0" borderId="4" xfId="0" applyFont="1" applyBorder="1" applyAlignment="1">
      <alignment horizontal="center"/>
    </xf>
    <xf numFmtId="2" fontId="14" fillId="0" borderId="6" xfId="0" applyNumberFormat="1" applyFont="1" applyBorder="1" applyAlignment="1">
      <alignment horizontal="center"/>
    </xf>
    <xf numFmtId="2" fontId="14" fillId="0" borderId="5" xfId="0" applyNumberFormat="1" applyFont="1" applyBorder="1" applyAlignment="1">
      <alignment horizontal="center"/>
    </xf>
    <xf numFmtId="2" fontId="10" fillId="0" borderId="13" xfId="0" applyNumberFormat="1" applyFont="1" applyBorder="1" applyAlignment="1" applyProtection="1">
      <alignment horizontal="center"/>
    </xf>
    <xf numFmtId="2" fontId="10" fillId="0" borderId="17" xfId="0" applyNumberFormat="1" applyFont="1" applyBorder="1" applyAlignment="1" applyProtection="1">
      <alignment horizontal="center"/>
    </xf>
    <xf numFmtId="2" fontId="10" fillId="0" borderId="23" xfId="0" applyNumberFormat="1" applyFont="1" applyBorder="1" applyAlignment="1" applyProtection="1">
      <alignment horizontal="center"/>
    </xf>
    <xf numFmtId="164" fontId="10" fillId="0" borderId="7" xfId="0" applyNumberFormat="1" applyFont="1" applyBorder="1" applyAlignment="1" applyProtection="1">
      <alignment horizontal="center"/>
    </xf>
    <xf numFmtId="2" fontId="10" fillId="0" borderId="22" xfId="0" applyNumberFormat="1" applyFont="1" applyBorder="1" applyProtection="1"/>
    <xf numFmtId="2" fontId="10" fillId="0" borderId="17" xfId="0" applyNumberFormat="1" applyFont="1" applyBorder="1" applyAlignment="1">
      <alignment horizontal="center"/>
    </xf>
    <xf numFmtId="2" fontId="10" fillId="0" borderId="7" xfId="0" applyNumberFormat="1" applyFont="1" applyBorder="1" applyAlignment="1">
      <alignment horizontal="center"/>
    </xf>
    <xf numFmtId="164" fontId="10" fillId="0" borderId="8" xfId="0" applyNumberFormat="1" applyFont="1" applyBorder="1" applyAlignment="1" applyProtection="1">
      <alignment horizontal="center"/>
    </xf>
    <xf numFmtId="2" fontId="10" fillId="0" borderId="9" xfId="0" applyNumberFormat="1" applyFont="1" applyBorder="1" applyProtection="1"/>
    <xf numFmtId="2" fontId="10" fillId="0" borderId="16" xfId="0" applyNumberFormat="1" applyFont="1" applyBorder="1" applyAlignment="1">
      <alignment horizontal="center"/>
    </xf>
    <xf numFmtId="0" fontId="0" fillId="0" borderId="15" xfId="0" applyBorder="1" applyAlignment="1">
      <alignment horizontal="center"/>
    </xf>
    <xf numFmtId="0" fontId="18" fillId="0" borderId="0" xfId="0" applyFont="1" applyFill="1" applyBorder="1" applyAlignment="1" applyProtection="1">
      <alignment horizontal="right"/>
    </xf>
    <xf numFmtId="0" fontId="18" fillId="0" borderId="0" xfId="0" applyFont="1" applyFill="1" applyBorder="1" applyProtection="1"/>
    <xf numFmtId="2" fontId="19" fillId="0" borderId="0" xfId="0" applyNumberFormat="1" applyFont="1" applyFill="1" applyBorder="1" applyAlignment="1" applyProtection="1">
      <alignment horizontal="center"/>
    </xf>
    <xf numFmtId="2" fontId="19" fillId="0" borderId="0" xfId="0" applyNumberFormat="1" applyFont="1" applyFill="1" applyBorder="1" applyAlignment="1" applyProtection="1">
      <alignment horizontal="right"/>
    </xf>
    <xf numFmtId="0" fontId="18" fillId="0" borderId="24" xfId="0" applyFont="1" applyFill="1" applyBorder="1" applyAlignment="1" applyProtection="1">
      <alignment horizontal="right"/>
    </xf>
    <xf numFmtId="0" fontId="18" fillId="0" borderId="22" xfId="0" applyFont="1" applyFill="1" applyBorder="1" applyProtection="1"/>
    <xf numFmtId="169" fontId="24" fillId="2" borderId="25" xfId="0" applyNumberFormat="1" applyFont="1" applyFill="1" applyBorder="1" applyAlignment="1" applyProtection="1">
      <alignment horizontal="center"/>
      <protection locked="0"/>
    </xf>
    <xf numFmtId="170" fontId="19" fillId="0" borderId="0" xfId="0" applyNumberFormat="1" applyFont="1" applyFill="1" applyBorder="1" applyAlignment="1" applyProtection="1">
      <alignment horizontal="right"/>
    </xf>
    <xf numFmtId="0" fontId="18" fillId="0" borderId="0" xfId="0" applyFont="1" applyFill="1" applyBorder="1" applyAlignment="1" applyProtection="1"/>
    <xf numFmtId="0" fontId="33" fillId="2" borderId="21" xfId="0" applyFont="1" applyFill="1" applyBorder="1" applyAlignment="1" applyProtection="1">
      <alignment horizontal="left"/>
      <protection locked="0"/>
    </xf>
    <xf numFmtId="0" fontId="17" fillId="0" borderId="0" xfId="0" applyFont="1" applyBorder="1" applyProtection="1"/>
    <xf numFmtId="2" fontId="17" fillId="0" borderId="0" xfId="0" applyNumberFormat="1" applyFont="1" applyProtection="1"/>
    <xf numFmtId="0" fontId="18" fillId="0" borderId="0" xfId="0" applyFont="1" applyBorder="1" applyProtection="1"/>
    <xf numFmtId="0" fontId="17" fillId="0" borderId="0" xfId="0" applyFont="1" applyProtection="1"/>
    <xf numFmtId="0" fontId="17" fillId="0" borderId="0" xfId="0" applyFont="1" applyFill="1" applyBorder="1" applyProtection="1"/>
    <xf numFmtId="0" fontId="17" fillId="0" borderId="0" xfId="0" applyFont="1" applyBorder="1" applyAlignment="1" applyProtection="1">
      <alignment horizontal="right" wrapText="1"/>
    </xf>
    <xf numFmtId="0" fontId="26" fillId="0" borderId="0" xfId="0" applyFont="1" applyBorder="1" applyAlignment="1" applyProtection="1">
      <alignment horizontal="left" wrapText="1"/>
    </xf>
    <xf numFmtId="164" fontId="17" fillId="0" borderId="0" xfId="0" applyNumberFormat="1" applyFont="1" applyBorder="1" applyAlignment="1" applyProtection="1">
      <alignment horizontal="center"/>
    </xf>
    <xf numFmtId="0" fontId="28" fillId="3" borderId="0" xfId="0" applyFont="1" applyFill="1" applyProtection="1"/>
    <xf numFmtId="0" fontId="26" fillId="3" borderId="0" xfId="0" applyFont="1" applyFill="1" applyProtection="1"/>
    <xf numFmtId="0" fontId="26" fillId="0" borderId="0" xfId="0" applyFont="1" applyProtection="1"/>
    <xf numFmtId="0" fontId="18" fillId="0" borderId="26" xfId="0" applyFont="1" applyFill="1" applyBorder="1" applyProtection="1"/>
    <xf numFmtId="0" fontId="18" fillId="0" borderId="27" xfId="0" applyFont="1" applyFill="1" applyBorder="1" applyAlignment="1" applyProtection="1">
      <alignment horizontal="right"/>
    </xf>
    <xf numFmtId="165" fontId="24" fillId="2" borderId="28" xfId="0" applyNumberFormat="1" applyFont="1" applyFill="1" applyBorder="1" applyAlignment="1" applyProtection="1">
      <alignment horizontal="center"/>
      <protection locked="0"/>
    </xf>
    <xf numFmtId="0" fontId="18" fillId="0" borderId="12" xfId="0" applyFont="1" applyFill="1" applyBorder="1" applyProtection="1"/>
    <xf numFmtId="0" fontId="12" fillId="0" borderId="29" xfId="0" applyFont="1" applyBorder="1" applyAlignment="1">
      <alignment horizontal="center"/>
    </xf>
    <xf numFmtId="0" fontId="12" fillId="0" borderId="30" xfId="0" applyFont="1" applyBorder="1" applyAlignment="1">
      <alignment horizontal="center"/>
    </xf>
    <xf numFmtId="0" fontId="13" fillId="0" borderId="21" xfId="0" applyFont="1" applyBorder="1" applyAlignment="1">
      <alignment horizontal="centerContinuous"/>
    </xf>
    <xf numFmtId="0" fontId="13" fillId="0" borderId="23" xfId="0" applyFont="1" applyBorder="1" applyAlignment="1">
      <alignment horizontal="centerContinuous"/>
    </xf>
    <xf numFmtId="0" fontId="31" fillId="0" borderId="29" xfId="0" applyFont="1" applyFill="1" applyBorder="1" applyAlignment="1">
      <alignment horizontal="center"/>
    </xf>
    <xf numFmtId="0" fontId="31" fillId="0" borderId="30" xfId="0" applyFont="1" applyFill="1" applyBorder="1" applyAlignment="1">
      <alignment horizontal="center"/>
    </xf>
    <xf numFmtId="164" fontId="13" fillId="0" borderId="31" xfId="0" applyNumberFormat="1" applyFont="1" applyBorder="1" applyAlignment="1" applyProtection="1">
      <alignment horizontal="center"/>
    </xf>
    <xf numFmtId="2" fontId="12" fillId="0" borderId="0" xfId="0" applyNumberFormat="1" applyFont="1" applyBorder="1" applyAlignment="1">
      <alignment horizontal="center"/>
    </xf>
    <xf numFmtId="2" fontId="10" fillId="0" borderId="0" xfId="0" applyNumberFormat="1" applyFont="1" applyBorder="1" applyProtection="1"/>
    <xf numFmtId="0" fontId="12" fillId="0" borderId="0" xfId="0" applyFont="1" applyBorder="1"/>
    <xf numFmtId="0" fontId="10" fillId="0" borderId="0" xfId="0" applyFont="1" applyBorder="1" applyAlignment="1"/>
    <xf numFmtId="0" fontId="34" fillId="0" borderId="19" xfId="0" applyFont="1" applyBorder="1"/>
    <xf numFmtId="0" fontId="38" fillId="0" borderId="32" xfId="0" applyFont="1" applyBorder="1"/>
    <xf numFmtId="2" fontId="38" fillId="0" borderId="20" xfId="0" applyNumberFormat="1" applyFont="1" applyBorder="1" applyAlignment="1">
      <alignment horizontal="center"/>
    </xf>
    <xf numFmtId="0" fontId="34" fillId="0" borderId="21" xfId="0" applyFont="1" applyBorder="1"/>
    <xf numFmtId="2" fontId="34" fillId="0" borderId="0" xfId="0" applyNumberFormat="1" applyFont="1" applyBorder="1" applyAlignment="1">
      <alignment horizontal="center"/>
    </xf>
    <xf numFmtId="0" fontId="34" fillId="0" borderId="33" xfId="0" applyFont="1" applyBorder="1" applyAlignment="1">
      <alignment horizontal="center"/>
    </xf>
    <xf numFmtId="0" fontId="34" fillId="0" borderId="34" xfId="0" applyFont="1" applyBorder="1"/>
    <xf numFmtId="0" fontId="38" fillId="0" borderId="34" xfId="0" applyFont="1" applyFill="1" applyBorder="1" applyAlignment="1">
      <alignment horizontal="center"/>
    </xf>
    <xf numFmtId="0" fontId="38" fillId="0" borderId="21" xfId="0" applyFont="1" applyFill="1" applyBorder="1" applyAlignment="1">
      <alignment horizontal="center"/>
    </xf>
    <xf numFmtId="0" fontId="38" fillId="0" borderId="23" xfId="0" applyFont="1" applyFill="1" applyBorder="1" applyAlignment="1">
      <alignment horizontal="center"/>
    </xf>
    <xf numFmtId="0" fontId="34" fillId="0" borderId="8" xfId="0" applyFont="1" applyBorder="1" applyAlignment="1">
      <alignment horizontal="right"/>
    </xf>
    <xf numFmtId="0" fontId="34" fillId="0" borderId="23" xfId="0" applyFont="1" applyBorder="1" applyAlignment="1">
      <alignment horizontal="right"/>
    </xf>
    <xf numFmtId="0" fontId="34" fillId="0" borderId="23" xfId="0" applyFont="1" applyBorder="1" applyAlignment="1">
      <alignment horizontal="left"/>
    </xf>
    <xf numFmtId="0" fontId="38" fillId="0" borderId="35" xfId="0" applyFont="1" applyBorder="1" applyAlignment="1">
      <alignment horizontal="center"/>
    </xf>
    <xf numFmtId="0" fontId="34" fillId="0" borderId="22" xfId="0" applyFont="1" applyBorder="1"/>
    <xf numFmtId="0" fontId="34" fillId="0" borderId="32" xfId="0" applyFont="1" applyBorder="1"/>
    <xf numFmtId="0" fontId="34" fillId="0" borderId="6" xfId="0" applyFont="1" applyBorder="1"/>
    <xf numFmtId="0" fontId="34" fillId="0" borderId="18" xfId="0" applyFont="1" applyBorder="1"/>
    <xf numFmtId="0" fontId="39" fillId="0" borderId="5" xfId="0" applyFont="1" applyFill="1" applyBorder="1" applyAlignment="1">
      <alignment horizontal="center"/>
    </xf>
    <xf numFmtId="11" fontId="34" fillId="0" borderId="14" xfId="0" applyNumberFormat="1" applyFont="1" applyBorder="1"/>
    <xf numFmtId="166" fontId="34" fillId="0" borderId="34" xfId="0" applyNumberFormat="1" applyFont="1" applyBorder="1"/>
    <xf numFmtId="2" fontId="34" fillId="0" borderId="0" xfId="0" applyNumberFormat="1" applyFont="1" applyBorder="1"/>
    <xf numFmtId="2" fontId="34" fillId="0" borderId="34" xfId="1" applyNumberFormat="1" applyFont="1" applyBorder="1"/>
    <xf numFmtId="2" fontId="34" fillId="0" borderId="3" xfId="0" applyNumberFormat="1" applyFont="1" applyBorder="1" applyProtection="1"/>
    <xf numFmtId="11" fontId="34" fillId="0" borderId="0" xfId="0" applyNumberFormat="1" applyFont="1" applyBorder="1"/>
    <xf numFmtId="166" fontId="34" fillId="0" borderId="0" xfId="0" applyNumberFormat="1" applyFont="1" applyBorder="1"/>
    <xf numFmtId="2" fontId="34" fillId="0" borderId="0" xfId="1" applyNumberFormat="1" applyFont="1" applyBorder="1"/>
    <xf numFmtId="2" fontId="34" fillId="0" borderId="0" xfId="0" applyNumberFormat="1" applyFont="1" applyBorder="1" applyProtection="1"/>
    <xf numFmtId="2" fontId="41" fillId="0" borderId="31" xfId="0" applyNumberFormat="1" applyFont="1" applyBorder="1" applyAlignment="1">
      <alignment horizontal="center"/>
    </xf>
    <xf numFmtId="11" fontId="34" fillId="0" borderId="21" xfId="0" applyNumberFormat="1" applyFont="1" applyBorder="1"/>
    <xf numFmtId="166" fontId="34" fillId="0" borderId="35" xfId="0" applyNumberFormat="1" applyFont="1" applyBorder="1"/>
    <xf numFmtId="2" fontId="34" fillId="0" borderId="23" xfId="0" applyNumberFormat="1" applyFont="1" applyBorder="1"/>
    <xf numFmtId="2" fontId="34" fillId="0" borderId="35" xfId="1" applyNumberFormat="1" applyFont="1" applyBorder="1"/>
    <xf numFmtId="2" fontId="34" fillId="0" borderId="9" xfId="0" applyNumberFormat="1" applyFont="1" applyBorder="1" applyProtection="1"/>
    <xf numFmtId="0" fontId="18" fillId="0" borderId="24" xfId="0" applyFont="1" applyFill="1" applyBorder="1" applyAlignment="1" applyProtection="1">
      <alignment horizontal="right" vertical="center"/>
    </xf>
    <xf numFmtId="0" fontId="18" fillId="0" borderId="36" xfId="0" applyFont="1" applyFill="1" applyBorder="1" applyAlignment="1" applyProtection="1">
      <alignment vertical="center"/>
    </xf>
    <xf numFmtId="0" fontId="18" fillId="0" borderId="27" xfId="0" applyFont="1" applyFill="1" applyBorder="1" applyAlignment="1" applyProtection="1">
      <alignment horizontal="right" vertical="center"/>
    </xf>
    <xf numFmtId="0" fontId="18" fillId="0" borderId="26" xfId="0" applyFont="1" applyFill="1" applyBorder="1" applyAlignment="1" applyProtection="1">
      <alignment vertical="center"/>
    </xf>
    <xf numFmtId="0" fontId="18" fillId="0" borderId="37" xfId="0" applyFont="1" applyFill="1" applyBorder="1" applyAlignment="1" applyProtection="1">
      <alignment horizontal="right" vertical="center"/>
    </xf>
    <xf numFmtId="2" fontId="24" fillId="4" borderId="38" xfId="0" applyNumberFormat="1" applyFont="1" applyFill="1" applyBorder="1" applyAlignment="1" applyProtection="1">
      <alignment horizontal="center" vertical="center"/>
      <protection locked="0"/>
    </xf>
    <xf numFmtId="0" fontId="36" fillId="0" borderId="0" xfId="0" applyFont="1"/>
    <xf numFmtId="0" fontId="19" fillId="0" borderId="10" xfId="0" applyFont="1" applyFill="1" applyBorder="1" applyAlignment="1" applyProtection="1">
      <alignment horizontal="right" vertical="center"/>
    </xf>
    <xf numFmtId="0" fontId="18" fillId="0" borderId="39" xfId="0" applyFont="1" applyFill="1" applyBorder="1" applyAlignment="1" applyProtection="1">
      <alignment horizontal="right" vertical="center"/>
    </xf>
    <xf numFmtId="2" fontId="24" fillId="4" borderId="40" xfId="0" applyNumberFormat="1" applyFont="1" applyFill="1" applyBorder="1" applyAlignment="1" applyProtection="1">
      <alignment horizontal="center" vertical="center"/>
      <protection locked="0"/>
    </xf>
    <xf numFmtId="0" fontId="18" fillId="0" borderId="5" xfId="0" applyFont="1" applyBorder="1" applyAlignment="1" applyProtection="1">
      <alignment horizontal="center" vertical="center"/>
    </xf>
    <xf numFmtId="0" fontId="18" fillId="0" borderId="41" xfId="0" applyFont="1" applyBorder="1" applyAlignment="1" applyProtection="1">
      <alignment horizontal="center" vertical="center" wrapText="1"/>
    </xf>
    <xf numFmtId="0" fontId="33" fillId="2" borderId="42" xfId="0" applyFont="1" applyFill="1" applyBorder="1" applyAlignment="1" applyProtection="1">
      <alignment horizontal="left"/>
      <protection locked="0"/>
    </xf>
    <xf numFmtId="165" fontId="24" fillId="4" borderId="38" xfId="0" applyNumberFormat="1" applyFont="1" applyFill="1" applyBorder="1" applyAlignment="1" applyProtection="1">
      <alignment horizontal="center" vertical="center"/>
      <protection locked="0"/>
    </xf>
    <xf numFmtId="167" fontId="51" fillId="0" borderId="25" xfId="0" applyNumberFormat="1" applyFont="1" applyFill="1" applyBorder="1" applyAlignment="1" applyProtection="1">
      <alignment horizontal="center" vertical="center"/>
    </xf>
    <xf numFmtId="14" fontId="25" fillId="2" borderId="23" xfId="0" applyNumberFormat="1" applyFont="1" applyFill="1" applyBorder="1" applyAlignment="1" applyProtection="1">
      <alignment horizontal="center"/>
      <protection locked="0"/>
    </xf>
    <xf numFmtId="0" fontId="17" fillId="2" borderId="22" xfId="0" applyFont="1" applyFill="1" applyBorder="1" applyAlignment="1" applyProtection="1">
      <alignment horizontal="center"/>
      <protection locked="0"/>
    </xf>
    <xf numFmtId="0" fontId="18" fillId="0" borderId="43" xfId="0" applyFont="1" applyFill="1" applyBorder="1" applyAlignment="1" applyProtection="1">
      <alignment vertical="center"/>
    </xf>
    <xf numFmtId="0" fontId="37" fillId="0" borderId="44" xfId="0" applyFont="1" applyFill="1" applyBorder="1" applyAlignment="1" applyProtection="1">
      <alignment horizontal="right"/>
    </xf>
    <xf numFmtId="0" fontId="51" fillId="0" borderId="45" xfId="0" applyFont="1" applyFill="1" applyBorder="1" applyAlignment="1" applyProtection="1">
      <alignment horizontal="right" vertical="center"/>
    </xf>
    <xf numFmtId="0" fontId="32" fillId="0" borderId="11" xfId="0" applyFont="1" applyBorder="1" applyAlignment="1" applyProtection="1">
      <alignment horizontal="centerContinuous"/>
    </xf>
    <xf numFmtId="0" fontId="32" fillId="0" borderId="12" xfId="0" applyFont="1" applyBorder="1" applyAlignment="1" applyProtection="1">
      <alignment horizontal="centerContinuous"/>
    </xf>
    <xf numFmtId="0" fontId="17" fillId="0" borderId="10" xfId="0" applyFont="1" applyBorder="1" applyProtection="1"/>
    <xf numFmtId="0" fontId="19" fillId="0" borderId="11" xfId="0" applyFont="1" applyBorder="1" applyAlignment="1" applyProtection="1">
      <alignment horizontal="center"/>
    </xf>
    <xf numFmtId="0" fontId="17" fillId="0" borderId="12" xfId="0" applyFont="1" applyBorder="1" applyProtection="1"/>
    <xf numFmtId="0" fontId="21" fillId="0" borderId="10" xfId="0" applyFont="1" applyBorder="1" applyAlignment="1" applyProtection="1">
      <alignment horizontal="right" vertical="top"/>
    </xf>
    <xf numFmtId="0" fontId="18" fillId="0" borderId="12" xfId="0" applyFont="1" applyBorder="1" applyProtection="1"/>
    <xf numFmtId="0" fontId="17" fillId="0" borderId="46" xfId="0" applyFont="1" applyBorder="1" applyAlignment="1" applyProtection="1">
      <alignment vertical="center"/>
    </xf>
    <xf numFmtId="0" fontId="18" fillId="0" borderId="21" xfId="0" applyFont="1" applyBorder="1" applyProtection="1"/>
    <xf numFmtId="0" fontId="17" fillId="0" borderId="23" xfId="0" applyFont="1" applyBorder="1" applyProtection="1"/>
    <xf numFmtId="0" fontId="18" fillId="0" borderId="22" xfId="0" applyFont="1" applyBorder="1" applyProtection="1"/>
    <xf numFmtId="0" fontId="17" fillId="0" borderId="47" xfId="0" applyFont="1" applyBorder="1" applyAlignment="1" applyProtection="1">
      <alignment vertical="center"/>
    </xf>
    <xf numFmtId="0" fontId="17" fillId="0" borderId="16" xfId="0" applyFont="1" applyBorder="1" applyAlignment="1" applyProtection="1">
      <alignment horizontal="center" vertical="center"/>
    </xf>
    <xf numFmtId="0" fontId="18" fillId="0" borderId="48" xfId="0" applyFont="1" applyBorder="1" applyAlignment="1" applyProtection="1">
      <alignment horizontal="center" wrapText="1"/>
    </xf>
    <xf numFmtId="0" fontId="26" fillId="0" borderId="10" xfId="0" applyFont="1" applyBorder="1" applyAlignment="1" applyProtection="1">
      <alignment horizontal="centerContinuous"/>
    </xf>
    <xf numFmtId="0" fontId="19" fillId="0" borderId="11" xfId="0" applyFont="1" applyBorder="1" applyAlignment="1" applyProtection="1">
      <alignment horizontal="centerContinuous"/>
    </xf>
    <xf numFmtId="0" fontId="17" fillId="0" borderId="12" xfId="0" applyFont="1" applyBorder="1" applyAlignment="1" applyProtection="1">
      <alignment horizontal="centerContinuous"/>
    </xf>
    <xf numFmtId="0" fontId="18" fillId="0" borderId="24" xfId="0" applyFont="1" applyBorder="1" applyAlignment="1" applyProtection="1">
      <alignment horizontal="right" vertical="center"/>
    </xf>
    <xf numFmtId="0" fontId="17" fillId="0" borderId="11" xfId="0" applyFont="1" applyBorder="1" applyAlignment="1" applyProtection="1">
      <alignment horizontal="centerContinuous"/>
    </xf>
    <xf numFmtId="11" fontId="17" fillId="0" borderId="0" xfId="0" applyNumberFormat="1" applyFont="1" applyProtection="1"/>
    <xf numFmtId="166" fontId="17" fillId="0" borderId="0" xfId="0" applyNumberFormat="1" applyFont="1" applyProtection="1"/>
    <xf numFmtId="0" fontId="17" fillId="0" borderId="0" xfId="0" applyFont="1" applyAlignment="1" applyProtection="1">
      <alignment horizontal="right"/>
    </xf>
    <xf numFmtId="14" fontId="33" fillId="2" borderId="0" xfId="0" applyNumberFormat="1" applyFont="1" applyFill="1" applyBorder="1" applyAlignment="1" applyProtection="1">
      <alignment horizontal="center"/>
      <protection locked="0"/>
    </xf>
    <xf numFmtId="171" fontId="33" fillId="2" borderId="12" xfId="0" applyNumberFormat="1" applyFont="1" applyFill="1" applyBorder="1" applyAlignment="1" applyProtection="1">
      <alignment horizontal="left" vertical="center"/>
      <protection locked="0"/>
    </xf>
    <xf numFmtId="14" fontId="25" fillId="2" borderId="10" xfId="0" applyNumberFormat="1" applyFont="1" applyFill="1" applyBorder="1" applyAlignment="1" applyProtection="1">
      <alignment horizontal="right" vertical="center"/>
      <protection locked="0"/>
    </xf>
    <xf numFmtId="2" fontId="16" fillId="2" borderId="24" xfId="0" applyNumberFormat="1" applyFont="1" applyFill="1" applyBorder="1" applyAlignment="1" applyProtection="1">
      <alignment horizontal="left" vertical="center"/>
      <protection locked="0"/>
    </xf>
    <xf numFmtId="0" fontId="34" fillId="0" borderId="35" xfId="0" applyFont="1" applyBorder="1" applyAlignment="1">
      <alignment horizontal="left"/>
    </xf>
    <xf numFmtId="0" fontId="6" fillId="0" borderId="23" xfId="0" applyFont="1" applyBorder="1" applyAlignment="1">
      <alignment horizontal="right"/>
    </xf>
    <xf numFmtId="0" fontId="6" fillId="0" borderId="22" xfId="0" applyFont="1" applyBorder="1" applyAlignment="1">
      <alignment horizontal="left"/>
    </xf>
    <xf numFmtId="0" fontId="31" fillId="0" borderId="10" xfId="0" applyFont="1" applyBorder="1" applyAlignment="1">
      <alignment horizontal="centerContinuous"/>
    </xf>
    <xf numFmtId="2" fontId="4" fillId="0" borderId="31" xfId="0" applyNumberFormat="1" applyFont="1" applyBorder="1" applyAlignment="1">
      <alignment horizontal="center"/>
    </xf>
    <xf numFmtId="2" fontId="3" fillId="0" borderId="21" xfId="0" applyNumberFormat="1" applyFont="1" applyBorder="1" applyAlignment="1">
      <alignment horizontal="center"/>
    </xf>
    <xf numFmtId="164" fontId="10" fillId="0" borderId="31" xfId="0" applyNumberFormat="1" applyFont="1" applyBorder="1" applyAlignment="1" applyProtection="1">
      <alignment horizontal="center"/>
    </xf>
    <xf numFmtId="0" fontId="17" fillId="0" borderId="18" xfId="0" applyFont="1" applyBorder="1" applyAlignment="1" applyProtection="1">
      <alignment vertical="top"/>
    </xf>
    <xf numFmtId="0" fontId="22" fillId="0" borderId="19" xfId="0" applyFont="1" applyBorder="1" applyAlignment="1" applyProtection="1">
      <alignment horizontal="left" vertical="top"/>
    </xf>
    <xf numFmtId="0" fontId="27" fillId="0" borderId="18" xfId="0" applyFont="1" applyBorder="1" applyAlignment="1" applyProtection="1">
      <alignment vertical="top"/>
    </xf>
    <xf numFmtId="0" fontId="27" fillId="0" borderId="20" xfId="0" applyFont="1" applyBorder="1" applyAlignment="1" applyProtection="1">
      <alignment vertical="top"/>
    </xf>
    <xf numFmtId="0" fontId="22" fillId="0" borderId="14" xfId="0" applyFont="1" applyBorder="1" applyAlignment="1" applyProtection="1">
      <alignment horizontal="left" vertical="top"/>
    </xf>
    <xf numFmtId="0" fontId="17" fillId="0" borderId="23" xfId="0" applyFont="1" applyBorder="1" applyAlignment="1" applyProtection="1">
      <alignment vertical="top"/>
    </xf>
    <xf numFmtId="0" fontId="22" fillId="0" borderId="21" xfId="0" applyFont="1" applyBorder="1" applyAlignment="1" applyProtection="1">
      <alignment horizontal="left" vertical="top"/>
    </xf>
    <xf numFmtId="0" fontId="27" fillId="0" borderId="23" xfId="0" applyFont="1" applyBorder="1" applyAlignment="1" applyProtection="1">
      <alignment vertical="top"/>
    </xf>
    <xf numFmtId="0" fontId="27" fillId="0" borderId="22" xfId="0" applyFont="1" applyBorder="1" applyAlignment="1" applyProtection="1">
      <alignment vertical="top"/>
    </xf>
    <xf numFmtId="0" fontId="52" fillId="0" borderId="18" xfId="0" applyFont="1" applyBorder="1" applyAlignment="1" applyProtection="1">
      <alignment vertical="top"/>
    </xf>
    <xf numFmtId="0" fontId="53" fillId="0" borderId="19" xfId="0" applyFont="1" applyBorder="1" applyAlignment="1" applyProtection="1">
      <alignment horizontal="left" vertical="top"/>
    </xf>
    <xf numFmtId="0" fontId="52" fillId="0" borderId="20" xfId="0" applyFont="1" applyBorder="1" applyAlignment="1" applyProtection="1">
      <alignment vertical="top"/>
    </xf>
    <xf numFmtId="0" fontId="53" fillId="0" borderId="14" xfId="0" applyFont="1" applyBorder="1" applyAlignment="1" applyProtection="1">
      <alignment horizontal="left" vertical="top"/>
    </xf>
    <xf numFmtId="0" fontId="52" fillId="0" borderId="23" xfId="0" applyFont="1" applyBorder="1" applyAlignment="1" applyProtection="1">
      <alignment vertical="top"/>
    </xf>
    <xf numFmtId="0" fontId="53" fillId="0" borderId="21" xfId="0" applyFont="1" applyBorder="1" applyAlignment="1" applyProtection="1">
      <alignment horizontal="left" vertical="top"/>
    </xf>
    <xf numFmtId="0" fontId="52" fillId="0" borderId="22" xfId="0" applyFont="1" applyBorder="1" applyAlignment="1" applyProtection="1">
      <alignment vertical="top"/>
    </xf>
    <xf numFmtId="2" fontId="34" fillId="0" borderId="15" xfId="0" applyNumberFormat="1" applyFont="1" applyBorder="1" applyAlignment="1">
      <alignment horizontal="center"/>
    </xf>
    <xf numFmtId="0" fontId="7" fillId="0" borderId="11" xfId="0" applyFont="1" applyBorder="1" applyAlignment="1"/>
    <xf numFmtId="165" fontId="51" fillId="0" borderId="40" xfId="0" applyNumberFormat="1" applyFont="1" applyFill="1" applyBorder="1" applyAlignment="1" applyProtection="1">
      <alignment horizontal="center" vertical="center"/>
    </xf>
    <xf numFmtId="2" fontId="24" fillId="2" borderId="49" xfId="0" applyNumberFormat="1" applyFont="1" applyFill="1" applyBorder="1" applyAlignment="1" applyProtection="1">
      <alignment horizontal="center"/>
      <protection locked="0"/>
    </xf>
    <xf numFmtId="0" fontId="54" fillId="0" borderId="18" xfId="0" applyFont="1" applyBorder="1" applyAlignment="1" applyProtection="1">
      <alignment vertical="top"/>
    </xf>
    <xf numFmtId="0" fontId="51" fillId="0" borderId="19" xfId="0" applyFont="1" applyBorder="1" applyAlignment="1" applyProtection="1">
      <alignment horizontal="left" vertical="top"/>
    </xf>
    <xf numFmtId="0" fontId="54" fillId="0" borderId="20" xfId="0" applyFont="1" applyBorder="1" applyAlignment="1" applyProtection="1">
      <alignment vertical="top"/>
    </xf>
    <xf numFmtId="0" fontId="51" fillId="0" borderId="14" xfId="0" applyFont="1" applyBorder="1" applyAlignment="1" applyProtection="1">
      <alignment horizontal="left" vertical="top"/>
    </xf>
    <xf numFmtId="0" fontId="54" fillId="0" borderId="23" xfId="0" applyFont="1" applyBorder="1" applyAlignment="1" applyProtection="1">
      <alignment vertical="top"/>
    </xf>
    <xf numFmtId="0" fontId="51" fillId="0" borderId="21" xfId="0" applyFont="1" applyBorder="1" applyAlignment="1" applyProtection="1">
      <alignment horizontal="left" vertical="top"/>
    </xf>
    <xf numFmtId="0" fontId="54" fillId="0" borderId="22" xfId="0" applyFont="1" applyBorder="1" applyAlignment="1" applyProtection="1">
      <alignment vertical="top"/>
    </xf>
    <xf numFmtId="0" fontId="19" fillId="0" borderId="19" xfId="0" applyFont="1" applyBorder="1" applyAlignment="1" applyProtection="1">
      <alignment horizontal="left" vertical="top"/>
    </xf>
    <xf numFmtId="0" fontId="19" fillId="0" borderId="14" xfId="0" applyFont="1" applyBorder="1" applyAlignment="1" applyProtection="1">
      <alignment horizontal="left" vertical="top"/>
    </xf>
    <xf numFmtId="0" fontId="19" fillId="0" borderId="21" xfId="0" applyFont="1" applyBorder="1" applyAlignment="1" applyProtection="1">
      <alignment horizontal="left" vertical="top"/>
    </xf>
    <xf numFmtId="0" fontId="27" fillId="2" borderId="15" xfId="0" applyFont="1" applyFill="1" applyBorder="1" applyAlignment="1" applyProtection="1">
      <alignment horizontal="center"/>
      <protection locked="0"/>
    </xf>
    <xf numFmtId="0" fontId="29" fillId="0" borderId="21" xfId="0" applyFont="1" applyFill="1" applyBorder="1" applyAlignment="1" applyProtection="1">
      <alignment horizontal="right"/>
    </xf>
    <xf numFmtId="168" fontId="29" fillId="0" borderId="40" xfId="0" applyNumberFormat="1" applyFont="1" applyFill="1" applyBorder="1" applyAlignment="1" applyProtection="1">
      <alignment horizontal="center"/>
    </xf>
    <xf numFmtId="1" fontId="42" fillId="2" borderId="11" xfId="0" applyNumberFormat="1" applyFont="1" applyFill="1" applyBorder="1" applyAlignment="1" applyProtection="1">
      <alignment horizontal="left" vertical="center"/>
      <protection locked="0"/>
    </xf>
    <xf numFmtId="164" fontId="18" fillId="0" borderId="28" xfId="0" applyNumberFormat="1" applyFont="1" applyBorder="1" applyAlignment="1" applyProtection="1"/>
    <xf numFmtId="164" fontId="18" fillId="0" borderId="7" xfId="0" applyNumberFormat="1" applyFont="1" applyBorder="1" applyAlignment="1" applyProtection="1"/>
    <xf numFmtId="2" fontId="27" fillId="2" borderId="13" xfId="0" applyNumberFormat="1" applyFont="1" applyFill="1" applyBorder="1" applyAlignment="1" applyProtection="1">
      <alignment horizontal="center" vertical="center"/>
      <protection locked="0"/>
    </xf>
    <xf numFmtId="0" fontId="17" fillId="0" borderId="0" xfId="0" applyFont="1" applyBorder="1" applyAlignment="1">
      <alignment vertical="top"/>
    </xf>
    <xf numFmtId="0" fontId="17" fillId="0" borderId="15" xfId="0" applyFont="1" applyBorder="1" applyAlignment="1">
      <alignment vertical="top"/>
    </xf>
    <xf numFmtId="0" fontId="54" fillId="0" borderId="0" xfId="0" applyFont="1" applyBorder="1" applyAlignment="1">
      <alignment vertical="top"/>
    </xf>
    <xf numFmtId="0" fontId="54" fillId="0" borderId="15" xfId="0" applyFont="1" applyBorder="1" applyAlignment="1">
      <alignment vertical="top"/>
    </xf>
    <xf numFmtId="2" fontId="27" fillId="2" borderId="17" xfId="0" applyNumberFormat="1" applyFont="1" applyFill="1" applyBorder="1" applyAlignment="1" applyProtection="1">
      <alignment horizontal="center" vertical="center"/>
      <protection locked="0"/>
    </xf>
    <xf numFmtId="0" fontId="18" fillId="0" borderId="22" xfId="0" applyFont="1" applyFill="1" applyBorder="1" applyAlignment="1" applyProtection="1">
      <alignment vertical="center"/>
    </xf>
    <xf numFmtId="0" fontId="18" fillId="0" borderId="50" xfId="0" applyFont="1" applyFill="1" applyBorder="1" applyAlignment="1" applyProtection="1">
      <alignment vertical="center"/>
    </xf>
    <xf numFmtId="0" fontId="18" fillId="0" borderId="36" xfId="0" applyFont="1" applyBorder="1" applyAlignment="1" applyProtection="1">
      <alignment vertical="center"/>
    </xf>
    <xf numFmtId="0" fontId="18" fillId="0" borderId="50" xfId="0" applyFont="1" applyBorder="1" applyProtection="1"/>
    <xf numFmtId="165" fontId="24" fillId="2" borderId="25" xfId="0" applyNumberFormat="1" applyFont="1" applyFill="1" applyBorder="1" applyAlignment="1" applyProtection="1">
      <alignment horizontal="center" vertical="center"/>
      <protection locked="0"/>
    </xf>
    <xf numFmtId="166" fontId="55" fillId="2" borderId="38" xfId="0" applyNumberFormat="1" applyFont="1" applyFill="1" applyBorder="1" applyAlignment="1" applyProtection="1">
      <alignment horizontal="center" vertical="center"/>
      <protection locked="0"/>
    </xf>
    <xf numFmtId="165" fontId="24" fillId="2" borderId="49" xfId="0" applyNumberFormat="1" applyFont="1" applyFill="1" applyBorder="1" applyAlignment="1" applyProtection="1">
      <alignment horizontal="center"/>
      <protection locked="0"/>
    </xf>
    <xf numFmtId="165" fontId="24" fillId="2" borderId="38" xfId="0" applyNumberFormat="1" applyFont="1" applyFill="1" applyBorder="1" applyAlignment="1" applyProtection="1">
      <alignment horizontal="center" vertical="center"/>
      <protection locked="0"/>
    </xf>
    <xf numFmtId="0" fontId="9" fillId="0" borderId="11" xfId="0" applyFont="1" applyBorder="1" applyAlignment="1">
      <alignment horizontal="centerContinuous"/>
    </xf>
    <xf numFmtId="0" fontId="12" fillId="0" borderId="32" xfId="0" applyFont="1" applyBorder="1" applyAlignment="1">
      <alignment horizontal="center"/>
    </xf>
    <xf numFmtId="1" fontId="10" fillId="0" borderId="34" xfId="0" applyNumberFormat="1" applyFont="1" applyBorder="1" applyAlignment="1">
      <alignment horizontal="center"/>
    </xf>
    <xf numFmtId="0" fontId="10" fillId="0" borderId="17" xfId="0" applyFont="1" applyBorder="1" applyAlignment="1">
      <alignment horizontal="center"/>
    </xf>
    <xf numFmtId="0" fontId="10" fillId="0" borderId="35" xfId="0" applyFont="1" applyBorder="1" applyAlignment="1">
      <alignment horizontal="center"/>
    </xf>
    <xf numFmtId="164" fontId="10" fillId="0" borderId="53" xfId="0" applyNumberFormat="1" applyFont="1" applyBorder="1" applyAlignment="1">
      <alignment horizontal="center"/>
    </xf>
    <xf numFmtId="2" fontId="12" fillId="0" borderId="32" xfId="0" applyNumberFormat="1" applyFont="1" applyBorder="1" applyAlignment="1" applyProtection="1">
      <alignment horizontal="center"/>
    </xf>
    <xf numFmtId="2" fontId="12" fillId="0" borderId="34" xfId="0" applyNumberFormat="1" applyFont="1" applyBorder="1" applyAlignment="1" applyProtection="1">
      <alignment horizontal="center"/>
    </xf>
    <xf numFmtId="0" fontId="12" fillId="0" borderId="35" xfId="0" applyFont="1" applyBorder="1"/>
    <xf numFmtId="0" fontId="12" fillId="0" borderId="20" xfId="0" applyFont="1" applyBorder="1" applyAlignment="1">
      <alignment horizontal="center"/>
    </xf>
    <xf numFmtId="1" fontId="10" fillId="0" borderId="15" xfId="0" applyNumberFormat="1" applyFont="1" applyBorder="1" applyAlignment="1">
      <alignment horizontal="center"/>
    </xf>
    <xf numFmtId="0" fontId="10" fillId="0" borderId="22" xfId="0" applyFont="1" applyBorder="1" applyAlignment="1">
      <alignment horizontal="center"/>
    </xf>
    <xf numFmtId="0" fontId="38" fillId="0" borderId="54" xfId="0" applyFont="1" applyBorder="1" applyAlignment="1"/>
    <xf numFmtId="2" fontId="38" fillId="0" borderId="55" xfId="0" applyNumberFormat="1" applyFont="1" applyBorder="1" applyAlignment="1">
      <alignment horizontal="center"/>
    </xf>
    <xf numFmtId="0" fontId="38" fillId="0" borderId="55" xfId="0" quotePrefix="1" applyFont="1" applyBorder="1" applyAlignment="1">
      <alignment horizontal="right"/>
    </xf>
    <xf numFmtId="172" fontId="34" fillId="0" borderId="1" xfId="0" applyNumberFormat="1" applyFont="1" applyBorder="1"/>
    <xf numFmtId="172" fontId="34" fillId="0" borderId="8" xfId="0" applyNumberFormat="1" applyFont="1" applyBorder="1"/>
    <xf numFmtId="164" fontId="18" fillId="0" borderId="2" xfId="0" applyNumberFormat="1" applyFont="1" applyBorder="1" applyAlignment="1" applyProtection="1"/>
    <xf numFmtId="0" fontId="18" fillId="0" borderId="15" xfId="0" applyFont="1" applyBorder="1" applyProtection="1"/>
    <xf numFmtId="0" fontId="18" fillId="0" borderId="0" xfId="0" applyFont="1" applyBorder="1" applyAlignment="1" applyProtection="1">
      <alignment horizontal="right"/>
    </xf>
    <xf numFmtId="0" fontId="53" fillId="0" borderId="37" xfId="0" applyFont="1" applyFill="1" applyBorder="1" applyAlignment="1" applyProtection="1">
      <alignment horizontal="right"/>
    </xf>
    <xf numFmtId="165" fontId="53" fillId="0" borderId="38" xfId="0" applyNumberFormat="1" applyFont="1" applyFill="1" applyBorder="1" applyAlignment="1" applyProtection="1">
      <alignment horizontal="center" vertical="center"/>
    </xf>
    <xf numFmtId="0" fontId="53" fillId="0" borderId="21" xfId="0" applyFont="1" applyFill="1" applyBorder="1" applyAlignment="1" applyProtection="1">
      <alignment horizontal="right"/>
    </xf>
    <xf numFmtId="165" fontId="53" fillId="0" borderId="7" xfId="0" applyNumberFormat="1" applyFont="1" applyFill="1" applyBorder="1" applyAlignment="1" applyProtection="1">
      <alignment horizontal="center" vertical="center"/>
    </xf>
    <xf numFmtId="0" fontId="17" fillId="0" borderId="20" xfId="0" applyFont="1" applyBorder="1" applyAlignment="1" applyProtection="1">
      <alignment vertical="top"/>
    </xf>
    <xf numFmtId="0" fontId="17" fillId="0" borderId="22" xfId="0" applyFont="1" applyBorder="1" applyAlignment="1" applyProtection="1">
      <alignment vertical="top"/>
    </xf>
    <xf numFmtId="165" fontId="17" fillId="0" borderId="0" xfId="0" applyNumberFormat="1" applyFont="1" applyFill="1" applyBorder="1" applyAlignment="1" applyProtection="1">
      <alignment horizontal="center" vertical="center"/>
    </xf>
    <xf numFmtId="2" fontId="27" fillId="2" borderId="3" xfId="0" applyNumberFormat="1" applyFont="1" applyFill="1" applyBorder="1" applyAlignment="1" applyProtection="1">
      <alignment horizontal="center" vertical="center"/>
      <protection locked="0"/>
    </xf>
    <xf numFmtId="2" fontId="27" fillId="2" borderId="9" xfId="0" applyNumberFormat="1" applyFont="1" applyFill="1" applyBorder="1" applyAlignment="1" applyProtection="1">
      <alignment horizontal="center" vertical="center"/>
      <protection locked="0"/>
    </xf>
    <xf numFmtId="0" fontId="18" fillId="0" borderId="19" xfId="0" applyFont="1" applyBorder="1" applyAlignment="1" applyProtection="1">
      <alignment horizontal="center" vertical="center"/>
    </xf>
    <xf numFmtId="0" fontId="18" fillId="0" borderId="14" xfId="0" applyFont="1" applyBorder="1" applyAlignment="1" applyProtection="1">
      <alignment horizontal="center" vertical="center" wrapText="1"/>
    </xf>
    <xf numFmtId="166" fontId="24" fillId="4" borderId="38" xfId="0" applyNumberFormat="1" applyFont="1" applyFill="1" applyBorder="1" applyAlignment="1" applyProtection="1">
      <alignment horizontal="center" vertical="center"/>
      <protection locked="0"/>
    </xf>
    <xf numFmtId="0" fontId="19" fillId="0" borderId="19" xfId="0" applyFont="1" applyBorder="1" applyAlignment="1" applyProtection="1">
      <alignment horizontal="centerContinuous"/>
    </xf>
    <xf numFmtId="0" fontId="38" fillId="0" borderId="55" xfId="0" applyFont="1" applyBorder="1" applyAlignment="1"/>
    <xf numFmtId="167" fontId="51" fillId="0" borderId="43" xfId="0" applyNumberFormat="1" applyFont="1" applyFill="1" applyBorder="1" applyAlignment="1" applyProtection="1">
      <alignment horizontal="center" vertical="center"/>
    </xf>
    <xf numFmtId="2" fontId="34" fillId="0" borderId="64" xfId="0" applyNumberFormat="1" applyFont="1" applyBorder="1"/>
    <xf numFmtId="164" fontId="10" fillId="0" borderId="10" xfId="0" applyNumberFormat="1" applyFont="1" applyBorder="1" applyAlignment="1">
      <alignment horizontal="center"/>
    </xf>
    <xf numFmtId="0" fontId="0" fillId="0" borderId="51" xfId="0" applyBorder="1"/>
    <xf numFmtId="164" fontId="10" fillId="0" borderId="52" xfId="0" applyNumberFormat="1" applyFont="1" applyBorder="1" applyAlignment="1" applyProtection="1">
      <alignment horizontal="center"/>
    </xf>
    <xf numFmtId="0" fontId="36" fillId="0" borderId="10" xfId="0" applyFont="1" applyBorder="1"/>
    <xf numFmtId="2" fontId="0" fillId="0" borderId="30" xfId="0" applyNumberFormat="1" applyBorder="1" applyAlignment="1">
      <alignment horizontal="center"/>
    </xf>
    <xf numFmtId="0" fontId="18" fillId="0" borderId="11" xfId="0" applyFont="1" applyBorder="1" applyAlignment="1" applyProtection="1">
      <alignment horizontal="centerContinuous"/>
    </xf>
    <xf numFmtId="0" fontId="18" fillId="0" borderId="12" xfId="0" applyFont="1" applyBorder="1" applyAlignment="1" applyProtection="1">
      <alignment horizontal="centerContinuous"/>
    </xf>
    <xf numFmtId="0" fontId="61" fillId="0" borderId="21" xfId="0" applyFont="1" applyFill="1" applyBorder="1" applyAlignment="1" applyProtection="1">
      <alignment horizontal="right"/>
    </xf>
    <xf numFmtId="165" fontId="61" fillId="0" borderId="7" xfId="0" applyNumberFormat="1" applyFont="1" applyFill="1" applyBorder="1" applyAlignment="1" applyProtection="1">
      <alignment horizontal="center" vertical="center"/>
    </xf>
    <xf numFmtId="0" fontId="35" fillId="0" borderId="19" xfId="0" applyFont="1" applyBorder="1" applyAlignment="1" applyProtection="1">
      <alignment horizontal="center" vertical="center"/>
    </xf>
    <xf numFmtId="0" fontId="43" fillId="0" borderId="18" xfId="0" applyFont="1" applyBorder="1" applyAlignment="1" applyProtection="1">
      <alignment horizontal="center" vertical="center"/>
    </xf>
    <xf numFmtId="0" fontId="43" fillId="0" borderId="20" xfId="0" applyFont="1" applyBorder="1" applyAlignment="1" applyProtection="1">
      <alignment horizontal="center" vertical="center"/>
    </xf>
    <xf numFmtId="0" fontId="43" fillId="0" borderId="14" xfId="0" applyFont="1" applyBorder="1" applyAlignment="1" applyProtection="1">
      <alignment horizontal="center" vertical="center"/>
    </xf>
    <xf numFmtId="0" fontId="43" fillId="0" borderId="0" xfId="0" applyFont="1" applyBorder="1" applyAlignment="1" applyProtection="1">
      <alignment horizontal="center" vertical="center"/>
    </xf>
    <xf numFmtId="0" fontId="43" fillId="0" borderId="15" xfId="0" applyFont="1" applyBorder="1" applyAlignment="1" applyProtection="1">
      <alignment horizontal="center" vertical="center"/>
    </xf>
    <xf numFmtId="0" fontId="43" fillId="0" borderId="21" xfId="0" applyFont="1" applyBorder="1" applyAlignment="1" applyProtection="1">
      <alignment horizontal="center" vertical="center"/>
    </xf>
    <xf numFmtId="0" fontId="43" fillId="0" borderId="23" xfId="0" applyFont="1" applyBorder="1" applyAlignment="1" applyProtection="1">
      <alignment horizontal="center" vertical="center"/>
    </xf>
    <xf numFmtId="0" fontId="43" fillId="0" borderId="22" xfId="0" applyFont="1" applyBorder="1" applyAlignment="1" applyProtection="1">
      <alignment horizontal="center" vertical="center"/>
    </xf>
    <xf numFmtId="0" fontId="16" fillId="0" borderId="51" xfId="0" applyFont="1" applyBorder="1" applyAlignment="1">
      <alignment horizontal="right" vertical="center" textRotation="90"/>
    </xf>
    <xf numFmtId="0" fontId="17" fillId="0" borderId="52" xfId="0" applyFont="1" applyBorder="1" applyAlignment="1">
      <alignment vertical="center" textRotation="90"/>
    </xf>
    <xf numFmtId="0" fontId="17" fillId="0" borderId="31" xfId="0" applyFont="1" applyBorder="1" applyAlignment="1">
      <alignment vertical="center" textRotation="90"/>
    </xf>
    <xf numFmtId="0" fontId="0" fillId="0" borderId="0" xfId="0" applyProtection="1"/>
    <xf numFmtId="2" fontId="16" fillId="2" borderId="24" xfId="0" applyNumberFormat="1" applyFont="1" applyFill="1" applyBorder="1" applyAlignment="1" applyProtection="1">
      <alignment horizontal="left" vertical="center"/>
    </xf>
    <xf numFmtId="14" fontId="25" fillId="2" borderId="10" xfId="0" applyNumberFormat="1" applyFont="1" applyFill="1" applyBorder="1" applyAlignment="1" applyProtection="1">
      <alignment horizontal="right" vertical="center"/>
    </xf>
    <xf numFmtId="171" fontId="33" fillId="2" borderId="12" xfId="0" applyNumberFormat="1" applyFont="1" applyFill="1" applyBorder="1" applyAlignment="1" applyProtection="1">
      <alignment horizontal="left" vertical="center"/>
    </xf>
    <xf numFmtId="165" fontId="24" fillId="2" borderId="28" xfId="0" applyNumberFormat="1" applyFont="1" applyFill="1" applyBorder="1" applyAlignment="1" applyProtection="1">
      <alignment horizontal="center"/>
    </xf>
    <xf numFmtId="0" fontId="33" fillId="2" borderId="42" xfId="0" applyFont="1" applyFill="1" applyBorder="1" applyAlignment="1" applyProtection="1">
      <alignment horizontal="left"/>
    </xf>
    <xf numFmtId="14" fontId="33" fillId="2" borderId="0" xfId="0" applyNumberFormat="1" applyFont="1" applyFill="1" applyBorder="1" applyAlignment="1" applyProtection="1">
      <alignment horizontal="center"/>
    </xf>
    <xf numFmtId="0" fontId="27" fillId="2" borderId="15" xfId="0" applyFont="1" applyFill="1" applyBorder="1" applyAlignment="1" applyProtection="1">
      <alignment horizontal="center"/>
    </xf>
    <xf numFmtId="169" fontId="24" fillId="2" borderId="25" xfId="0" applyNumberFormat="1" applyFont="1" applyFill="1" applyBorder="1" applyAlignment="1" applyProtection="1">
      <alignment horizontal="center"/>
    </xf>
    <xf numFmtId="0" fontId="33" fillId="2" borderId="21" xfId="0" applyFont="1" applyFill="1" applyBorder="1" applyAlignment="1" applyProtection="1">
      <alignment horizontal="left"/>
    </xf>
    <xf numFmtId="14" fontId="25" fillId="2" borderId="23" xfId="0" applyNumberFormat="1" applyFont="1" applyFill="1" applyBorder="1" applyAlignment="1" applyProtection="1">
      <alignment horizontal="center"/>
    </xf>
    <xf numFmtId="0" fontId="17" fillId="2" borderId="22" xfId="0" applyFont="1" applyFill="1" applyBorder="1" applyAlignment="1" applyProtection="1">
      <alignment horizontal="center"/>
    </xf>
    <xf numFmtId="1" fontId="42" fillId="2" borderId="11" xfId="0" applyNumberFormat="1" applyFont="1" applyFill="1" applyBorder="1" applyAlignment="1" applyProtection="1">
      <alignment horizontal="left" vertical="center"/>
    </xf>
    <xf numFmtId="165" fontId="24" fillId="2" borderId="25" xfId="0" applyNumberFormat="1" applyFont="1" applyFill="1" applyBorder="1" applyAlignment="1" applyProtection="1">
      <alignment horizontal="center" vertical="center"/>
    </xf>
    <xf numFmtId="0" fontId="16" fillId="0" borderId="51" xfId="0" applyFont="1" applyBorder="1" applyAlignment="1" applyProtection="1">
      <alignment horizontal="right" vertical="center" textRotation="90"/>
    </xf>
    <xf numFmtId="166" fontId="55" fillId="2" borderId="38" xfId="0" applyNumberFormat="1" applyFont="1" applyFill="1" applyBorder="1" applyAlignment="1" applyProtection="1">
      <alignment horizontal="center" vertical="center"/>
    </xf>
    <xf numFmtId="0" fontId="17" fillId="0" borderId="52" xfId="0" applyFont="1" applyBorder="1" applyAlignment="1" applyProtection="1">
      <alignment vertical="center" textRotation="90"/>
    </xf>
    <xf numFmtId="165" fontId="24" fillId="2" borderId="49" xfId="0" applyNumberFormat="1" applyFont="1" applyFill="1" applyBorder="1" applyAlignment="1" applyProtection="1">
      <alignment horizontal="center"/>
    </xf>
    <xf numFmtId="2" fontId="24" fillId="2" borderId="49" xfId="0" applyNumberFormat="1" applyFont="1" applyFill="1" applyBorder="1" applyAlignment="1" applyProtection="1">
      <alignment horizontal="center"/>
    </xf>
    <xf numFmtId="2" fontId="27" fillId="2" borderId="13" xfId="0" applyNumberFormat="1" applyFont="1" applyFill="1" applyBorder="1" applyAlignment="1" applyProtection="1">
      <alignment horizontal="center" vertical="center"/>
    </xf>
    <xf numFmtId="2" fontId="27" fillId="2" borderId="3" xfId="0" applyNumberFormat="1" applyFont="1" applyFill="1" applyBorder="1" applyAlignment="1" applyProtection="1">
      <alignment horizontal="center" vertical="center"/>
    </xf>
    <xf numFmtId="0" fontId="56" fillId="0" borderId="0" xfId="0" applyFont="1" applyProtection="1"/>
    <xf numFmtId="2" fontId="24" fillId="4" borderId="38" xfId="0" applyNumberFormat="1" applyFont="1" applyFill="1" applyBorder="1" applyAlignment="1" applyProtection="1">
      <alignment horizontal="center" vertical="center"/>
    </xf>
    <xf numFmtId="2" fontId="24" fillId="4" borderId="40" xfId="0" applyNumberFormat="1" applyFont="1" applyFill="1" applyBorder="1" applyAlignment="1" applyProtection="1">
      <alignment horizontal="center" vertical="center"/>
    </xf>
    <xf numFmtId="0" fontId="33" fillId="2" borderId="56" xfId="0" applyFont="1" applyFill="1" applyBorder="1" applyAlignment="1" applyProtection="1">
      <alignment horizontal="left"/>
    </xf>
    <xf numFmtId="14" fontId="33" fillId="2" borderId="57" xfId="0" applyNumberFormat="1" applyFont="1" applyFill="1" applyBorder="1" applyAlignment="1" applyProtection="1">
      <alignment horizontal="center"/>
    </xf>
    <xf numFmtId="0" fontId="33" fillId="2" borderId="46" xfId="0" applyFont="1" applyFill="1" applyBorder="1" applyAlignment="1" applyProtection="1">
      <alignment horizontal="center"/>
    </xf>
    <xf numFmtId="0" fontId="33" fillId="2" borderId="58" xfId="0" applyFont="1" applyFill="1" applyBorder="1" applyAlignment="1" applyProtection="1">
      <alignment horizontal="center"/>
    </xf>
    <xf numFmtId="0" fontId="17" fillId="0" borderId="38" xfId="0" applyFont="1" applyBorder="1" applyAlignment="1" applyProtection="1">
      <alignment horizontal="center"/>
    </xf>
    <xf numFmtId="0" fontId="58" fillId="0" borderId="56" xfId="0" applyFont="1" applyBorder="1" applyAlignment="1" applyProtection="1">
      <alignment horizontal="center"/>
    </xf>
    <xf numFmtId="0" fontId="57" fillId="0" borderId="59" xfId="0" applyFont="1" applyBorder="1" applyProtection="1"/>
    <xf numFmtId="0" fontId="59" fillId="0" borderId="33" xfId="0" applyFont="1" applyBorder="1" applyProtection="1"/>
    <xf numFmtId="0" fontId="0" fillId="0" borderId="33" xfId="0" applyBorder="1" applyProtection="1"/>
    <xf numFmtId="0" fontId="0" fillId="0" borderId="60" xfId="0" applyBorder="1" applyProtection="1"/>
    <xf numFmtId="0" fontId="58" fillId="0" borderId="0" xfId="0" applyFont="1" applyBorder="1" applyAlignment="1" applyProtection="1">
      <alignment horizontal="center"/>
    </xf>
    <xf numFmtId="0" fontId="57" fillId="0" borderId="1" xfId="0" applyFont="1" applyBorder="1" applyProtection="1"/>
    <xf numFmtId="0" fontId="59" fillId="0" borderId="0" xfId="0" applyFont="1" applyBorder="1" applyProtection="1"/>
    <xf numFmtId="0" fontId="0" fillId="0" borderId="0" xfId="0" applyBorder="1" applyProtection="1"/>
    <xf numFmtId="0" fontId="0" fillId="0" borderId="34" xfId="0" applyBorder="1" applyProtection="1"/>
    <xf numFmtId="166" fontId="24" fillId="4" borderId="38" xfId="0" applyNumberFormat="1" applyFont="1" applyFill="1" applyBorder="1" applyAlignment="1" applyProtection="1">
      <alignment horizontal="center" vertical="center"/>
    </xf>
    <xf numFmtId="0" fontId="0" fillId="0" borderId="0" xfId="0" applyAlignment="1" applyProtection="1">
      <alignment horizontal="center"/>
    </xf>
    <xf numFmtId="165" fontId="24" fillId="4" borderId="38" xfId="0" applyNumberFormat="1" applyFont="1" applyFill="1" applyBorder="1" applyAlignment="1" applyProtection="1">
      <alignment horizontal="center" vertical="center"/>
    </xf>
    <xf numFmtId="0" fontId="57" fillId="0" borderId="61" xfId="0" applyFont="1" applyBorder="1" applyProtection="1"/>
    <xf numFmtId="0" fontId="0" fillId="0" borderId="62" xfId="0" applyBorder="1" applyProtection="1"/>
    <xf numFmtId="0" fontId="0" fillId="0" borderId="63" xfId="0" applyBorder="1" applyProtection="1"/>
    <xf numFmtId="0" fontId="58" fillId="0" borderId="38" xfId="0" applyFont="1" applyBorder="1" applyAlignment="1" applyProtection="1">
      <alignment horizontal="center"/>
    </xf>
    <xf numFmtId="0" fontId="57" fillId="0" borderId="56" xfId="0" applyFont="1" applyBorder="1" applyProtection="1"/>
    <xf numFmtId="0" fontId="0" fillId="0" borderId="57" xfId="0" applyBorder="1" applyProtection="1"/>
    <xf numFmtId="0" fontId="0" fillId="0" borderId="58" xfId="0" applyBorder="1" applyProtection="1"/>
    <xf numFmtId="165" fontId="24" fillId="2" borderId="38" xfId="0" applyNumberFormat="1" applyFont="1" applyFill="1" applyBorder="1" applyAlignment="1" applyProtection="1">
      <alignment horizontal="center" vertical="center"/>
    </xf>
    <xf numFmtId="0" fontId="58" fillId="0" borderId="57" xfId="0" applyFont="1" applyBorder="1" applyProtection="1"/>
    <xf numFmtId="0" fontId="58" fillId="0" borderId="33" xfId="0" applyFont="1" applyBorder="1" applyProtection="1"/>
    <xf numFmtId="0" fontId="58" fillId="0" borderId="62" xfId="0" applyFont="1" applyBorder="1" applyProtection="1"/>
    <xf numFmtId="0" fontId="60" fillId="0" borderId="0" xfId="0" applyFont="1" applyAlignment="1" applyProtection="1">
      <alignment horizontal="center"/>
    </xf>
    <xf numFmtId="0" fontId="36" fillId="0" borderId="0" xfId="0" applyFont="1" applyProtection="1"/>
    <xf numFmtId="0" fontId="58" fillId="0" borderId="59" xfId="0" applyFont="1" applyBorder="1" applyAlignment="1" applyProtection="1">
      <alignment horizontal="center"/>
    </xf>
    <xf numFmtId="0" fontId="58" fillId="0" borderId="0" xfId="0" applyFont="1" applyBorder="1" applyProtection="1"/>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Verdana"/>
                <a:ea typeface="Verdana"/>
                <a:cs typeface="Verdana"/>
              </a:defRPr>
            </a:pPr>
            <a:r>
              <a:rPr lang="nl-NL" sz="1100"/>
              <a:t>Size distribution </a:t>
            </a:r>
            <a:r>
              <a:rPr lang="nl-NL" sz="1100" b="0" i="0" baseline="0"/>
              <a:t>(Geometric diameter)</a:t>
            </a:r>
            <a:endParaRPr lang="nl-NL" sz="1100"/>
          </a:p>
        </c:rich>
      </c:tx>
      <c:layout>
        <c:manualLayout>
          <c:xMode val="edge"/>
          <c:yMode val="edge"/>
          <c:x val="0.25120561253094781"/>
          <c:y val="8.839542539196988E-4"/>
        </c:manualLayout>
      </c:layout>
      <c:overlay val="0"/>
      <c:spPr>
        <a:noFill/>
        <a:ln w="25400">
          <a:noFill/>
        </a:ln>
      </c:spPr>
    </c:title>
    <c:autoTitleDeleted val="0"/>
    <c:plotArea>
      <c:layout>
        <c:manualLayout>
          <c:layoutTarget val="inner"/>
          <c:xMode val="edge"/>
          <c:yMode val="edge"/>
          <c:x val="0.11623246492985972"/>
          <c:y val="6.8368398844146888E-2"/>
          <c:w val="0.83366733466933862"/>
          <c:h val="0.83682920185235632"/>
        </c:manualLayout>
      </c:layout>
      <c:scatterChart>
        <c:scatterStyle val="lineMarker"/>
        <c:varyColors val="0"/>
        <c:ser>
          <c:idx val="1"/>
          <c:order val="0"/>
          <c:tx>
            <c:strRef>
              <c:f>Calculations!$K$5</c:f>
              <c:strCache>
                <c:ptCount val="1"/>
                <c:pt idx="0">
                  <c:v>Total </c:v>
                </c:pt>
              </c:strCache>
            </c:strRef>
          </c:tx>
          <c:spPr>
            <a:ln w="25400">
              <a:solidFill>
                <a:srgbClr val="000000"/>
              </a:solidFill>
              <a:prstDash val="solid"/>
            </a:ln>
          </c:spPr>
          <c:marker>
            <c:symbol val="none"/>
          </c:marker>
          <c:xVal>
            <c:numRef>
              <c:f>Calculations!$H$10:$H$110</c:f>
              <c:numCache>
                <c:formatCode>0.00</c:formatCode>
                <c:ptCount val="101"/>
                <c:pt idx="0">
                  <c:v>0.14336606282724537</c:v>
                </c:pt>
                <c:pt idx="1">
                  <c:v>0.2322413335505161</c:v>
                </c:pt>
                <c:pt idx="2">
                  <c:v>0.29078095561837292</c:v>
                </c:pt>
                <c:pt idx="3">
                  <c:v>0.35225361079967116</c:v>
                </c:pt>
                <c:pt idx="4">
                  <c:v>0.41684036708594741</c:v>
                </c:pt>
                <c:pt idx="5">
                  <c:v>0.48471773415081176</c:v>
                </c:pt>
                <c:pt idx="6">
                  <c:v>0.5560646209900284</c:v>
                </c:pt>
                <c:pt idx="7">
                  <c:v>0.63106558531942747</c:v>
                </c:pt>
                <c:pt idx="8">
                  <c:v>0.70991263957082107</c:v>
                </c:pt>
                <c:pt idx="9">
                  <c:v>0.79280643267804418</c:v>
                </c:pt>
                <c:pt idx="10">
                  <c:v>0.8799571434061344</c:v>
                </c:pt>
                <c:pt idx="11">
                  <c:v>0.97158523699262689</c:v>
                </c:pt>
                <c:pt idx="12">
                  <c:v>1.0679221594896104</c:v>
                </c:pt>
                <c:pt idx="13">
                  <c:v>1.1692110089483541</c:v>
                </c:pt>
                <c:pt idx="14">
                  <c:v>1.2757072054564977</c:v>
                </c:pt>
                <c:pt idx="15">
                  <c:v>1.3876791732551272</c:v>
                </c:pt>
                <c:pt idx="16">
                  <c:v>1.5054090434608158</c:v>
                </c:pt>
                <c:pt idx="17">
                  <c:v>1.6291933833126382</c:v>
                </c:pt>
                <c:pt idx="18">
                  <c:v>1.7593439563854476</c:v>
                </c:pt>
                <c:pt idx="19">
                  <c:v>1.8961885173611761</c:v>
                </c:pt>
                <c:pt idx="20">
                  <c:v>2.040071644464625</c:v>
                </c:pt>
                <c:pt idx="21">
                  <c:v>2.1913556124030822</c:v>
                </c:pt>
                <c:pt idx="22">
                  <c:v>2.3504213085169572</c:v>
                </c:pt>
                <c:pt idx="23">
                  <c:v>2.5176691948029086</c:v>
                </c:pt>
                <c:pt idx="24">
                  <c:v>2.6935203184825758</c:v>
                </c:pt>
                <c:pt idx="25">
                  <c:v>2.8784173738412435</c:v>
                </c:pt>
                <c:pt idx="26">
                  <c:v>3.072825818140585</c:v>
                </c:pt>
                <c:pt idx="27">
                  <c:v>3.2772350445110385</c:v>
                </c:pt>
                <c:pt idx="28">
                  <c:v>3.4921596148481027</c:v>
                </c:pt>
                <c:pt idx="29">
                  <c:v>3.7181405558699994</c:v>
                </c:pt>
                <c:pt idx="30">
                  <c:v>3.9557467216401307</c:v>
                </c:pt>
                <c:pt idx="31">
                  <c:v>4.205576226015439</c:v>
                </c:pt>
                <c:pt idx="32">
                  <c:v>4.4682579486506331</c:v>
                </c:pt>
                <c:pt idx="33">
                  <c:v>4.744453118368015</c:v>
                </c:pt>
                <c:pt idx="34">
                  <c:v>5.0348569778933312</c:v>
                </c:pt>
                <c:pt idx="35">
                  <c:v>5.3402005341597096</c:v>
                </c:pt>
                <c:pt idx="36">
                  <c:v>5.661252398594784</c:v>
                </c:pt>
                <c:pt idx="37">
                  <c:v>5.9988207220307359</c:v>
                </c:pt>
                <c:pt idx="38">
                  <c:v>6.3537552291137018</c:v>
                </c:pt>
                <c:pt idx="39">
                  <c:v>6.7269493573383023</c:v>
                </c:pt>
                <c:pt idx="40">
                  <c:v>7.1193425060955358</c:v>
                </c:pt>
                <c:pt idx="41">
                  <c:v>7.5319224013984512</c:v>
                </c:pt>
                <c:pt idx="42">
                  <c:v>7.9657275822406408</c:v>
                </c:pt>
                <c:pt idx="43">
                  <c:v>8.4218500148483049</c:v>
                </c:pt>
                <c:pt idx="44">
                  <c:v>8.9014378414081818</c:v>
                </c:pt>
                <c:pt idx="45">
                  <c:v>9.4056982701918415</c:v>
                </c:pt>
                <c:pt idx="46">
                  <c:v>9.935900614352537</c:v>
                </c:pt>
                <c:pt idx="47">
                  <c:v>10.493379487044788</c:v>
                </c:pt>
                <c:pt idx="48">
                  <c:v>11.079538160910248</c:v>
                </c:pt>
                <c:pt idx="49">
                  <c:v>11.695852100387</c:v>
                </c:pt>
                <c:pt idx="50">
                  <c:v>12.3438726757343</c:v>
                </c:pt>
                <c:pt idx="51">
                  <c:v>13.025231068122144</c:v>
                </c:pt>
                <c:pt idx="52">
                  <c:v>13.741642375615898</c:v>
                </c:pt>
                <c:pt idx="53">
                  <c:v>14.494909930391827</c:v>
                </c:pt>
                <c:pt idx="54">
                  <c:v>15.286929838051009</c:v>
                </c:pt>
                <c:pt idx="55">
                  <c:v>16.119695750458188</c:v>
                </c:pt>
                <c:pt idx="56">
                  <c:v>16.995303884119824</c:v>
                </c:pt>
                <c:pt idx="57">
                  <c:v>17.91595829673367</c:v>
                </c:pt>
                <c:pt idx="58">
                  <c:v>18.883976435192082</c:v>
                </c:pt>
                <c:pt idx="59">
                  <c:v>19.901794969004424</c:v>
                </c:pt>
                <c:pt idx="60">
                  <c:v>20.971975923822509</c:v>
                </c:pt>
                <c:pt idx="61">
                  <c:v>22.097213130508276</c:v>
                </c:pt>
                <c:pt idx="62">
                  <c:v>23.280339005977247</c:v>
                </c:pt>
                <c:pt idx="63">
                  <c:v>24.524331682886398</c:v>
                </c:pt>
                <c:pt idx="64">
                  <c:v>25.832322506113169</c:v>
                </c:pt>
                <c:pt idx="65">
                  <c:v>27.207603914895632</c:v>
                </c:pt>
                <c:pt idx="66">
                  <c:v>28.653637730474543</c:v>
                </c:pt>
                <c:pt idx="67">
                  <c:v>30.174063870098809</c:v>
                </c:pt>
                <c:pt idx="68">
                  <c:v>31.772709509329058</c:v>
                </c:pt>
                <c:pt idx="69">
                  <c:v>33.453598715702412</c:v>
                </c:pt>
                <c:pt idx="70">
                  <c:v>35.220962578008084</c:v>
                </c:pt>
                <c:pt idx="71">
                  <c:v>37.079249856671069</c:v>
                </c:pt>
                <c:pt idx="72">
                  <c:v>39.033138182052774</c:v>
                </c:pt>
                <c:pt idx="73">
                  <c:v>41.087545828856527</c:v>
                </c:pt>
                <c:pt idx="74">
                  <c:v>43.247644096276467</c:v>
                </c:pt>
                <c:pt idx="75">
                  <c:v>45.518870325052468</c:v>
                </c:pt>
                <c:pt idx="76">
                  <c:v>47.906941584197668</c:v>
                </c:pt>
                <c:pt idx="77">
                  <c:v>50.417869061850162</c:v>
                </c:pt>
                <c:pt idx="78">
                  <c:v>53.057973196473277</c:v>
                </c:pt>
                <c:pt idx="79">
                  <c:v>55.833899586492315</c:v>
                </c:pt>
                <c:pt idx="80">
                  <c:v>58.752635718414972</c:v>
                </c:pt>
                <c:pt idx="81">
                  <c:v>61.82152855554309</c:v>
                </c:pt>
                <c:pt idx="82">
                  <c:v>65.048303031549509</c:v>
                </c:pt>
                <c:pt idx="83">
                  <c:v>68.441081495471764</c:v>
                </c:pt>
                <c:pt idx="84">
                  <c:v>72.00840415706864</c:v>
                </c:pt>
                <c:pt idx="85">
                  <c:v>75.75925058400442</c:v>
                </c:pt>
                <c:pt idx="86">
                  <c:v>79.703062304973088</c:v>
                </c:pt>
                <c:pt idx="87">
                  <c:v>83.849766575657867</c:v>
                </c:pt>
                <c:pt idx="88">
                  <c:v>88.209801367349783</c:v>
                </c:pt>
                <c:pt idx="89">
                  <c:v>92.794141641125378</c:v>
                </c:pt>
                <c:pt idx="90">
                  <c:v>97.614326973720779</c:v>
                </c:pt>
                <c:pt idx="91">
                  <c:v>102.6824906046408</c:v>
                </c:pt>
                <c:pt idx="92">
                  <c:v>108.01138997761967</c:v>
                </c:pt>
                <c:pt idx="93">
                  <c:v>113.61443885331195</c:v>
                </c:pt>
                <c:pt idx="94">
                  <c:v>119.5057410740462</c:v>
                </c:pt>
                <c:pt idx="95">
                  <c:v>125.70012606563375</c:v>
                </c:pt>
                <c:pt idx="96">
                  <c:v>132.2131861655964</c:v>
                </c:pt>
                <c:pt idx="97">
                  <c:v>139.0613158717745</c:v>
                </c:pt>
                <c:pt idx="98">
                  <c:v>146.26175311011141</c:v>
                </c:pt>
                <c:pt idx="99">
                  <c:v>150.00000000000003</c:v>
                </c:pt>
                <c:pt idx="100">
                  <c:v>150.00000000000003</c:v>
                </c:pt>
              </c:numCache>
            </c:numRef>
          </c:xVal>
          <c:yVal>
            <c:numRef>
              <c:f>Calculations!$K$10:$K$110</c:f>
              <c:numCache>
                <c:formatCode>0.00</c:formatCode>
                <c:ptCount val="101"/>
                <c:pt idx="0">
                  <c:v>1.0629865783872757E-3</c:v>
                </c:pt>
                <c:pt idx="1">
                  <c:v>1.1728033266787119E-2</c:v>
                </c:pt>
                <c:pt idx="2">
                  <c:v>4.1287078646430601E-2</c:v>
                </c:pt>
                <c:pt idx="3">
                  <c:v>0.11234207002454417</c:v>
                </c:pt>
                <c:pt idx="4">
                  <c:v>0.25524320449864102</c:v>
                </c:pt>
                <c:pt idx="5">
                  <c:v>0.50787039246273202</c:v>
                </c:pt>
                <c:pt idx="6">
                  <c:v>0.91309951329102879</c:v>
                </c:pt>
                <c:pt idx="7">
                  <c:v>1.5156154019384553</c:v>
                </c:pt>
                <c:pt idx="8">
                  <c:v>2.3585021573798244</c:v>
                </c:pt>
                <c:pt idx="9">
                  <c:v>3.4799579388356183</c:v>
                </c:pt>
                <c:pt idx="10">
                  <c:v>4.9103921806650179</c:v>
                </c:pt>
                <c:pt idx="11">
                  <c:v>6.6700809381117327</c:v>
                </c:pt>
                <c:pt idx="12">
                  <c:v>8.767485083945056</c:v>
                </c:pt>
                <c:pt idx="13">
                  <c:v>11.198276906186647</c:v>
                </c:pt>
                <c:pt idx="14">
                  <c:v>13.945072576121898</c:v>
                </c:pt>
                <c:pt idx="15">
                  <c:v>16.977829875415576</c:v>
                </c:pt>
                <c:pt idx="16">
                  <c:v>20.254841418616405</c:v>
                </c:pt>
                <c:pt idx="17">
                  <c:v>23.724232430503438</c:v>
                </c:pt>
                <c:pt idx="18">
                  <c:v>27.325858103068771</c:v>
                </c:pt>
                <c:pt idx="19">
                  <c:v>30.993487912057983</c:v>
                </c:pt>
                <c:pt idx="20">
                  <c:v>34.657162305067189</c:v>
                </c:pt>
                <c:pt idx="21">
                  <c:v>38.245610175519097</c:v>
                </c:pt>
                <c:pt idx="22">
                  <c:v>41.68862278770419</c:v>
                </c:pt>
                <c:pt idx="23">
                  <c:v>44.919290571711294</c:v>
                </c:pt>
                <c:pt idx="24">
                  <c:v>47.87602269546484</c:v>
                </c:pt>
                <c:pt idx="25">
                  <c:v>50.504284764037216</c:v>
                </c:pt>
                <c:pt idx="26">
                  <c:v>52.758006618006512</c:v>
                </c:pt>
                <c:pt idx="27">
                  <c:v>54.600629251208261</c:v>
                </c:pt>
                <c:pt idx="28">
                  <c:v>56.00577663822191</c:v>
                </c:pt>
                <c:pt idx="29">
                  <c:v>56.957554115097921</c:v>
                </c:pt>
                <c:pt idx="30">
                  <c:v>57.450489341642026</c:v>
                </c:pt>
                <c:pt idx="31">
                  <c:v>57.489144340915267</c:v>
                </c:pt>
                <c:pt idx="32">
                  <c:v>57.087437326253564</c:v>
                </c:pt>
                <c:pt idx="33">
                  <c:v>56.267720772687113</c:v>
                </c:pt>
                <c:pt idx="34">
                  <c:v>55.059667373494214</c:v>
                </c:pt>
                <c:pt idx="35">
                  <c:v>53.499018165018832</c:v>
                </c:pt>
                <c:pt idx="36">
                  <c:v>51.626247331257815</c:v>
                </c:pt>
                <c:pt idx="37">
                  <c:v>49.485196233858048</c:v>
                </c:pt>
                <c:pt idx="38">
                  <c:v>47.121725347587393</c:v>
                </c:pt>
                <c:pt idx="39">
                  <c:v>44.582427365806311</c:v>
                </c:pt>
                <c:pt idx="40">
                  <c:v>41.913438158973662</c:v>
                </c:pt>
                <c:pt idx="41">
                  <c:v>39.159374919339307</c:v>
                </c:pt>
                <c:pt idx="42">
                  <c:v>36.362423097837613</c:v>
                </c:pt>
                <c:pt idx="43">
                  <c:v>33.561586002147521</c:v>
                </c:pt>
                <c:pt idx="44">
                  <c:v>30.792103506188827</c:v>
                </c:pt>
                <c:pt idx="45">
                  <c:v>28.085039499031769</c:v>
                </c:pt>
                <c:pt idx="46">
                  <c:v>25.467031695018822</c:v>
                </c:pt>
                <c:pt idx="47">
                  <c:v>22.96019239421938</c:v>
                </c:pt>
                <c:pt idx="48">
                  <c:v>20.582144817876809</c:v>
                </c:pt>
                <c:pt idx="49">
                  <c:v>18.346176781749104</c:v>
                </c:pt>
                <c:pt idx="50">
                  <c:v>16.261491691457081</c:v>
                </c:pt>
                <c:pt idx="51">
                  <c:v>14.333536081410109</c:v>
                </c:pt>
                <c:pt idx="52">
                  <c:v>12.564383068460323</c:v>
                </c:pt>
                <c:pt idx="53">
                  <c:v>10.953152021291626</c:v>
                </c:pt>
                <c:pt idx="54">
                  <c:v>9.4964463074655185</c:v>
                </c:pt>
                <c:pt idx="55">
                  <c:v>8.1887930149845261</c:v>
                </c:pt>
                <c:pt idx="56">
                  <c:v>7.0230708983128691</c:v>
                </c:pt>
                <c:pt idx="57">
                  <c:v>5.9909153224932146</c:v>
                </c:pt>
                <c:pt idx="58">
                  <c:v>5.0830915405823136</c:v>
                </c:pt>
                <c:pt idx="59">
                  <c:v>4.2898301249596953</c:v>
                </c:pt>
                <c:pt idx="60">
                  <c:v>3.6011206898316712</c:v>
                </c:pt>
                <c:pt idx="61">
                  <c:v>3.0069621206011492</c:v>
                </c:pt>
                <c:pt idx="62">
                  <c:v>2.4975693184823018</c:v>
                </c:pt>
                <c:pt idx="63">
                  <c:v>2.0635379495683357</c:v>
                </c:pt>
                <c:pt idx="64">
                  <c:v>1.6959698490270227</c:v>
                </c:pt>
                <c:pt idx="65">
                  <c:v>1.3865625817209228</c:v>
                </c:pt>
                <c:pt idx="66">
                  <c:v>1.1276672214100076</c:v>
                </c:pt>
                <c:pt idx="67">
                  <c:v>0.91231871229305661</c:v>
                </c:pt>
                <c:pt idx="68">
                  <c:v>0.73424325556891779</c:v>
                </c:pt>
                <c:pt idx="69">
                  <c:v>0.58784705969414552</c:v>
                </c:pt>
                <c:pt idx="70">
                  <c:v>0.46819054645169306</c:v>
                </c:pt>
                <c:pt idx="71">
                  <c:v>0.37095175466614355</c:v>
                </c:pt>
                <c:pt idx="72">
                  <c:v>0.2923822651001628</c:v>
                </c:pt>
                <c:pt idx="73">
                  <c:v>0.22925851528684457</c:v>
                </c:pt>
                <c:pt idx="74">
                  <c:v>0.17883090823813336</c:v>
                </c:pt>
                <c:pt idx="75">
                  <c:v>0.13877266558446627</c:v>
                </c:pt>
                <c:pt idx="76">
                  <c:v>0.10712994989250609</c:v>
                </c:pt>
                <c:pt idx="77">
                  <c:v>8.2274394097271539E-2</c:v>
                </c:pt>
                <c:pt idx="78">
                  <c:v>6.2858835293465268E-2</c:v>
                </c:pt>
                <c:pt idx="79">
                  <c:v>4.7776758907788063E-2</c:v>
                </c:pt>
                <c:pt idx="80">
                  <c:v>3.6125717971883277E-2</c:v>
                </c:pt>
                <c:pt idx="81">
                  <c:v>2.7174798825938991E-2</c:v>
                </c:pt>
                <c:pt idx="82">
                  <c:v>2.0336055518113794E-2</c:v>
                </c:pt>
                <c:pt idx="83">
                  <c:v>1.5139725664110593E-2</c:v>
                </c:pt>
                <c:pt idx="84">
                  <c:v>1.1212965236447631E-2</c:v>
                </c:pt>
                <c:pt idx="85">
                  <c:v>8.2617931565832255E-3</c:v>
                </c:pt>
                <c:pt idx="86">
                  <c:v>6.0559131782378121E-3</c:v>
                </c:pt>
                <c:pt idx="87">
                  <c:v>4.416075390333671E-3</c:v>
                </c:pt>
                <c:pt idx="88">
                  <c:v>3.2036480902270081E-3</c:v>
                </c:pt>
                <c:pt idx="89">
                  <c:v>2.3120888925900656E-3</c:v>
                </c:pt>
                <c:pt idx="90">
                  <c:v>1.6600283544243521E-3</c:v>
                </c:pt>
                <c:pt idx="91">
                  <c:v>1.1857074584416226E-3</c:v>
                </c:pt>
                <c:pt idx="92">
                  <c:v>8.4253981289574714E-4</c:v>
                </c:pt>
                <c:pt idx="93">
                  <c:v>5.9559888732930728E-4</c:v>
                </c:pt>
                <c:pt idx="94">
                  <c:v>4.1885874402740981E-4</c:v>
                </c:pt>
                <c:pt idx="95">
                  <c:v>2.9304291495263685E-4</c:v>
                </c:pt>
                <c:pt idx="96">
                  <c:v>2.0395973425350758E-4</c:v>
                </c:pt>
                <c:pt idx="97">
                  <c:v>1.4122345899485975E-4</c:v>
                </c:pt>
                <c:pt idx="98">
                  <c:v>9.7278763918354151E-5</c:v>
                </c:pt>
                <c:pt idx="99">
                  <c:v>0</c:v>
                </c:pt>
                <c:pt idx="100">
                  <c:v>0</c:v>
                </c:pt>
              </c:numCache>
            </c:numRef>
          </c:yVal>
          <c:smooth val="1"/>
          <c:extLst>
            <c:ext xmlns:c16="http://schemas.microsoft.com/office/drawing/2014/chart" uri="{C3380CC4-5D6E-409C-BE32-E72D297353CC}">
              <c16:uniqueId val="{00000000-D70B-43C4-8652-5A2A41C98CC2}"/>
            </c:ext>
          </c:extLst>
        </c:ser>
        <c:ser>
          <c:idx val="0"/>
          <c:order val="1"/>
          <c:tx>
            <c:strRef>
              <c:f>Calculations!$S$4</c:f>
              <c:strCache>
                <c:ptCount val="1"/>
                <c:pt idx="0">
                  <c:v>SWeRF</c:v>
                </c:pt>
              </c:strCache>
            </c:strRef>
          </c:tx>
          <c:spPr>
            <a:ln w="25400">
              <a:solidFill>
                <a:srgbClr val="008000"/>
              </a:solidFill>
              <a:prstDash val="solid"/>
            </a:ln>
          </c:spPr>
          <c:marker>
            <c:symbol val="none"/>
          </c:marker>
          <c:xVal>
            <c:numRef>
              <c:f>Calculations!$H$10:$H$110</c:f>
              <c:numCache>
                <c:formatCode>0.00</c:formatCode>
                <c:ptCount val="101"/>
                <c:pt idx="0">
                  <c:v>0.14336606282724537</c:v>
                </c:pt>
                <c:pt idx="1">
                  <c:v>0.2322413335505161</c:v>
                </c:pt>
                <c:pt idx="2">
                  <c:v>0.29078095561837292</c:v>
                </c:pt>
                <c:pt idx="3">
                  <c:v>0.35225361079967116</c:v>
                </c:pt>
                <c:pt idx="4">
                  <c:v>0.41684036708594741</c:v>
                </c:pt>
                <c:pt idx="5">
                  <c:v>0.48471773415081176</c:v>
                </c:pt>
                <c:pt idx="6">
                  <c:v>0.5560646209900284</c:v>
                </c:pt>
                <c:pt idx="7">
                  <c:v>0.63106558531942747</c:v>
                </c:pt>
                <c:pt idx="8">
                  <c:v>0.70991263957082107</c:v>
                </c:pt>
                <c:pt idx="9">
                  <c:v>0.79280643267804418</c:v>
                </c:pt>
                <c:pt idx="10">
                  <c:v>0.8799571434061344</c:v>
                </c:pt>
                <c:pt idx="11">
                  <c:v>0.97158523699262689</c:v>
                </c:pt>
                <c:pt idx="12">
                  <c:v>1.0679221594896104</c:v>
                </c:pt>
                <c:pt idx="13">
                  <c:v>1.1692110089483541</c:v>
                </c:pt>
                <c:pt idx="14">
                  <c:v>1.2757072054564977</c:v>
                </c:pt>
                <c:pt idx="15">
                  <c:v>1.3876791732551272</c:v>
                </c:pt>
                <c:pt idx="16">
                  <c:v>1.5054090434608158</c:v>
                </c:pt>
                <c:pt idx="17">
                  <c:v>1.6291933833126382</c:v>
                </c:pt>
                <c:pt idx="18">
                  <c:v>1.7593439563854476</c:v>
                </c:pt>
                <c:pt idx="19">
                  <c:v>1.8961885173611761</c:v>
                </c:pt>
                <c:pt idx="20">
                  <c:v>2.040071644464625</c:v>
                </c:pt>
                <c:pt idx="21">
                  <c:v>2.1913556124030822</c:v>
                </c:pt>
                <c:pt idx="22">
                  <c:v>2.3504213085169572</c:v>
                </c:pt>
                <c:pt idx="23">
                  <c:v>2.5176691948029086</c:v>
                </c:pt>
                <c:pt idx="24">
                  <c:v>2.6935203184825758</c:v>
                </c:pt>
                <c:pt idx="25">
                  <c:v>2.8784173738412435</c:v>
                </c:pt>
                <c:pt idx="26">
                  <c:v>3.072825818140585</c:v>
                </c:pt>
                <c:pt idx="27">
                  <c:v>3.2772350445110385</c:v>
                </c:pt>
                <c:pt idx="28">
                  <c:v>3.4921596148481027</c:v>
                </c:pt>
                <c:pt idx="29">
                  <c:v>3.7181405558699994</c:v>
                </c:pt>
                <c:pt idx="30">
                  <c:v>3.9557467216401307</c:v>
                </c:pt>
                <c:pt idx="31">
                  <c:v>4.205576226015439</c:v>
                </c:pt>
                <c:pt idx="32">
                  <c:v>4.4682579486506331</c:v>
                </c:pt>
                <c:pt idx="33">
                  <c:v>4.744453118368015</c:v>
                </c:pt>
                <c:pt idx="34">
                  <c:v>5.0348569778933312</c:v>
                </c:pt>
                <c:pt idx="35">
                  <c:v>5.3402005341597096</c:v>
                </c:pt>
                <c:pt idx="36">
                  <c:v>5.661252398594784</c:v>
                </c:pt>
                <c:pt idx="37">
                  <c:v>5.9988207220307359</c:v>
                </c:pt>
                <c:pt idx="38">
                  <c:v>6.3537552291137018</c:v>
                </c:pt>
                <c:pt idx="39">
                  <c:v>6.7269493573383023</c:v>
                </c:pt>
                <c:pt idx="40">
                  <c:v>7.1193425060955358</c:v>
                </c:pt>
                <c:pt idx="41">
                  <c:v>7.5319224013984512</c:v>
                </c:pt>
                <c:pt idx="42">
                  <c:v>7.9657275822406408</c:v>
                </c:pt>
                <c:pt idx="43">
                  <c:v>8.4218500148483049</c:v>
                </c:pt>
                <c:pt idx="44">
                  <c:v>8.9014378414081818</c:v>
                </c:pt>
                <c:pt idx="45">
                  <c:v>9.4056982701918415</c:v>
                </c:pt>
                <c:pt idx="46">
                  <c:v>9.935900614352537</c:v>
                </c:pt>
                <c:pt idx="47">
                  <c:v>10.493379487044788</c:v>
                </c:pt>
                <c:pt idx="48">
                  <c:v>11.079538160910248</c:v>
                </c:pt>
                <c:pt idx="49">
                  <c:v>11.695852100387</c:v>
                </c:pt>
                <c:pt idx="50">
                  <c:v>12.3438726757343</c:v>
                </c:pt>
                <c:pt idx="51">
                  <c:v>13.025231068122144</c:v>
                </c:pt>
                <c:pt idx="52">
                  <c:v>13.741642375615898</c:v>
                </c:pt>
                <c:pt idx="53">
                  <c:v>14.494909930391827</c:v>
                </c:pt>
                <c:pt idx="54">
                  <c:v>15.286929838051009</c:v>
                </c:pt>
                <c:pt idx="55">
                  <c:v>16.119695750458188</c:v>
                </c:pt>
                <c:pt idx="56">
                  <c:v>16.995303884119824</c:v>
                </c:pt>
                <c:pt idx="57">
                  <c:v>17.91595829673367</c:v>
                </c:pt>
                <c:pt idx="58">
                  <c:v>18.883976435192082</c:v>
                </c:pt>
                <c:pt idx="59">
                  <c:v>19.901794969004424</c:v>
                </c:pt>
                <c:pt idx="60">
                  <c:v>20.971975923822509</c:v>
                </c:pt>
                <c:pt idx="61">
                  <c:v>22.097213130508276</c:v>
                </c:pt>
                <c:pt idx="62">
                  <c:v>23.280339005977247</c:v>
                </c:pt>
                <c:pt idx="63">
                  <c:v>24.524331682886398</c:v>
                </c:pt>
                <c:pt idx="64">
                  <c:v>25.832322506113169</c:v>
                </c:pt>
                <c:pt idx="65">
                  <c:v>27.207603914895632</c:v>
                </c:pt>
                <c:pt idx="66">
                  <c:v>28.653637730474543</c:v>
                </c:pt>
                <c:pt idx="67">
                  <c:v>30.174063870098809</c:v>
                </c:pt>
                <c:pt idx="68">
                  <c:v>31.772709509329058</c:v>
                </c:pt>
                <c:pt idx="69">
                  <c:v>33.453598715702412</c:v>
                </c:pt>
                <c:pt idx="70">
                  <c:v>35.220962578008084</c:v>
                </c:pt>
                <c:pt idx="71">
                  <c:v>37.079249856671069</c:v>
                </c:pt>
                <c:pt idx="72">
                  <c:v>39.033138182052774</c:v>
                </c:pt>
                <c:pt idx="73">
                  <c:v>41.087545828856527</c:v>
                </c:pt>
                <c:pt idx="74">
                  <c:v>43.247644096276467</c:v>
                </c:pt>
                <c:pt idx="75">
                  <c:v>45.518870325052468</c:v>
                </c:pt>
                <c:pt idx="76">
                  <c:v>47.906941584197668</c:v>
                </c:pt>
                <c:pt idx="77">
                  <c:v>50.417869061850162</c:v>
                </c:pt>
                <c:pt idx="78">
                  <c:v>53.057973196473277</c:v>
                </c:pt>
                <c:pt idx="79">
                  <c:v>55.833899586492315</c:v>
                </c:pt>
                <c:pt idx="80">
                  <c:v>58.752635718414972</c:v>
                </c:pt>
                <c:pt idx="81">
                  <c:v>61.82152855554309</c:v>
                </c:pt>
                <c:pt idx="82">
                  <c:v>65.048303031549509</c:v>
                </c:pt>
                <c:pt idx="83">
                  <c:v>68.441081495471764</c:v>
                </c:pt>
                <c:pt idx="84">
                  <c:v>72.00840415706864</c:v>
                </c:pt>
                <c:pt idx="85">
                  <c:v>75.75925058400442</c:v>
                </c:pt>
                <c:pt idx="86">
                  <c:v>79.703062304973088</c:v>
                </c:pt>
                <c:pt idx="87">
                  <c:v>83.849766575657867</c:v>
                </c:pt>
                <c:pt idx="88">
                  <c:v>88.209801367349783</c:v>
                </c:pt>
                <c:pt idx="89">
                  <c:v>92.794141641125378</c:v>
                </c:pt>
                <c:pt idx="90">
                  <c:v>97.614326973720779</c:v>
                </c:pt>
                <c:pt idx="91">
                  <c:v>102.6824906046408</c:v>
                </c:pt>
                <c:pt idx="92">
                  <c:v>108.01138997761967</c:v>
                </c:pt>
                <c:pt idx="93">
                  <c:v>113.61443885331195</c:v>
                </c:pt>
                <c:pt idx="94">
                  <c:v>119.5057410740462</c:v>
                </c:pt>
                <c:pt idx="95">
                  <c:v>125.70012606563375</c:v>
                </c:pt>
                <c:pt idx="96">
                  <c:v>132.2131861655964</c:v>
                </c:pt>
                <c:pt idx="97">
                  <c:v>139.0613158717745</c:v>
                </c:pt>
                <c:pt idx="98">
                  <c:v>146.26175311011141</c:v>
                </c:pt>
                <c:pt idx="99">
                  <c:v>150.00000000000003</c:v>
                </c:pt>
                <c:pt idx="100">
                  <c:v>150.00000000000003</c:v>
                </c:pt>
              </c:numCache>
            </c:numRef>
          </c:xVal>
          <c:yVal>
            <c:numRef>
              <c:f>Calculations!$T$10:$T$110</c:f>
              <c:numCache>
                <c:formatCode>0.00</c:formatCode>
                <c:ptCount val="101"/>
                <c:pt idx="0">
                  <c:v>1.0534825111341538E-3</c:v>
                </c:pt>
                <c:pt idx="1">
                  <c:v>1.1559112875041074E-2</c:v>
                </c:pt>
                <c:pt idx="2">
                  <c:v>4.0545213362444016E-2</c:v>
                </c:pt>
                <c:pt idx="3">
                  <c:v>0.10990532231325362</c:v>
                </c:pt>
                <c:pt idx="4">
                  <c:v>0.24870849562104316</c:v>
                </c:pt>
                <c:pt idx="5">
                  <c:v>0.49273875144472118</c:v>
                </c:pt>
                <c:pt idx="6">
                  <c:v>0.88161047038522733</c:v>
                </c:pt>
                <c:pt idx="7">
                  <c:v>1.4548277290296792</c:v>
                </c:pt>
                <c:pt idx="8">
                  <c:v>2.246763492944837</c:v>
                </c:pt>
                <c:pt idx="9">
                  <c:v>3.2804795672872329</c:v>
                </c:pt>
                <c:pt idx="10">
                  <c:v>4.5606445093886112</c:v>
                </c:pt>
                <c:pt idx="11">
                  <c:v>6.0665304609004762</c:v>
                </c:pt>
                <c:pt idx="12">
                  <c:v>7.7468643219344884</c:v>
                </c:pt>
                <c:pt idx="13">
                  <c:v>9.5186785423073967</c:v>
                </c:pt>
                <c:pt idx="14">
                  <c:v>11.27186626829879</c:v>
                </c:pt>
                <c:pt idx="15">
                  <c:v>12.879869770476756</c:v>
                </c:pt>
                <c:pt idx="16">
                  <c:v>14.215208091294867</c:v>
                </c:pt>
                <c:pt idx="17">
                  <c:v>15.167008126210689</c:v>
                </c:pt>
                <c:pt idx="18">
                  <c:v>15.656922638340991</c:v>
                </c:pt>
                <c:pt idx="19">
                  <c:v>15.650082090379755</c:v>
                </c:pt>
                <c:pt idx="20">
                  <c:v>15.158926545897089</c:v>
                </c:pt>
                <c:pt idx="21">
                  <c:v>14.239478511197728</c:v>
                </c:pt>
                <c:pt idx="22">
                  <c:v>12.98130367073426</c:v>
                </c:pt>
                <c:pt idx="23">
                  <c:v>11.49360104737034</c:v>
                </c:pt>
                <c:pt idx="24">
                  <c:v>9.8903223204022233</c:v>
                </c:pt>
                <c:pt idx="25">
                  <c:v>8.2769500991247877</c:v>
                </c:pt>
                <c:pt idx="26">
                  <c:v>6.7407727151747165</c:v>
                </c:pt>
                <c:pt idx="27">
                  <c:v>5.3454773745429378</c:v>
                </c:pt>
                <c:pt idx="28">
                  <c:v>4.1299295838172529</c:v>
                </c:pt>
                <c:pt idx="29">
                  <c:v>3.1103123483299244</c:v>
                </c:pt>
                <c:pt idx="30">
                  <c:v>2.2844457355663246</c:v>
                </c:pt>
                <c:pt idx="31">
                  <c:v>1.6370746753960783</c:v>
                </c:pt>
                <c:pt idx="32">
                  <c:v>1.1451122738084063</c:v>
                </c:pt>
                <c:pt idx="33">
                  <c:v>0.78214522774497952</c:v>
                </c:pt>
                <c:pt idx="34">
                  <c:v>0.52184544333293847</c:v>
                </c:pt>
                <c:pt idx="35">
                  <c:v>0.3402166066628069</c:v>
                </c:pt>
                <c:pt idx="36">
                  <c:v>0.21680118896217643</c:v>
                </c:pt>
                <c:pt idx="37">
                  <c:v>0.13507785349170834</c:v>
                </c:pt>
                <c:pt idx="38">
                  <c:v>8.2307240740753504E-2</c:v>
                </c:pt>
                <c:pt idx="39">
                  <c:v>4.9060332750559606E-2</c:v>
                </c:pt>
                <c:pt idx="40">
                  <c:v>2.861287660255666E-2</c:v>
                </c:pt>
                <c:pt idx="41">
                  <c:v>1.6331451140660591E-2</c:v>
                </c:pt>
                <c:pt idx="42">
                  <c:v>9.1244807755786733E-3</c:v>
                </c:pt>
                <c:pt idx="43">
                  <c:v>4.9910791973574002E-3</c:v>
                </c:pt>
                <c:pt idx="44">
                  <c:v>2.6733872756785427E-3</c:v>
                </c:pt>
                <c:pt idx="45">
                  <c:v>1.4024406255045208E-3</c:v>
                </c:pt>
                <c:pt idx="46">
                  <c:v>7.2066367137238636E-4</c:v>
                </c:pt>
                <c:pt idx="47">
                  <c:v>3.6280498667334876E-4</c:v>
                </c:pt>
                <c:pt idx="48">
                  <c:v>1.7896581942914645E-4</c:v>
                </c:pt>
                <c:pt idx="49">
                  <c:v>8.651350419551378E-5</c:v>
                </c:pt>
                <c:pt idx="50">
                  <c:v>4.098948618197275E-5</c:v>
                </c:pt>
                <c:pt idx="51">
                  <c:v>1.9036656080326984E-5</c:v>
                </c:pt>
                <c:pt idx="52">
                  <c:v>8.6674295244878683E-6</c:v>
                </c:pt>
                <c:pt idx="53">
                  <c:v>3.8691907137868003E-6</c:v>
                </c:pt>
                <c:pt idx="54">
                  <c:v>1.6936570229573299E-6</c:v>
                </c:pt>
                <c:pt idx="55">
                  <c:v>7.2702286841710712E-7</c:v>
                </c:pt>
                <c:pt idx="56">
                  <c:v>3.0607358231608523E-7</c:v>
                </c:pt>
                <c:pt idx="57">
                  <c:v>1.2638412823024612E-7</c:v>
                </c:pt>
                <c:pt idx="58">
                  <c:v>5.1189095217838315E-8</c:v>
                </c:pt>
                <c:pt idx="59">
                  <c:v>2.0337858065924582E-8</c:v>
                </c:pt>
                <c:pt idx="60">
                  <c:v>7.9267568344206933E-9</c:v>
                </c:pt>
                <c:pt idx="61">
                  <c:v>3.0308404413354787E-9</c:v>
                </c:pt>
                <c:pt idx="62">
                  <c:v>1.1368873069387253E-9</c:v>
                </c:pt>
                <c:pt idx="63">
                  <c:v>4.1837234822953415E-10</c:v>
                </c:pt>
                <c:pt idx="64">
                  <c:v>1.5104263647430492E-10</c:v>
                </c:pt>
                <c:pt idx="65">
                  <c:v>5.3496009798933926E-11</c:v>
                </c:pt>
                <c:pt idx="66">
                  <c:v>1.8587476974146342E-11</c:v>
                </c:pt>
                <c:pt idx="67">
                  <c:v>6.3354813365022259E-12</c:v>
                </c:pt>
                <c:pt idx="68">
                  <c:v>2.1183048774166845E-12</c:v>
                </c:pt>
                <c:pt idx="69">
                  <c:v>6.9474800533588737E-13</c:v>
                </c:pt>
                <c:pt idx="70">
                  <c:v>2.2348536213181952E-13</c:v>
                </c:pt>
                <c:pt idx="71">
                  <c:v>7.0504731766890286E-14</c:v>
                </c:pt>
                <c:pt idx="72">
                  <c:v>2.1827016227282033E-14</c:v>
                </c:pt>
                <c:pt idx="73">
                  <c:v>6.6169095578950506E-15</c:v>
                </c:pt>
                <c:pt idx="74">
                  <c:v>1.9740715149602626E-15</c:v>
                </c:pt>
                <c:pt idx="75">
                  <c:v>5.7190695086916203E-16</c:v>
                </c:pt>
                <c:pt idx="76">
                  <c:v>1.6691416837454589E-16</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numCache>
            </c:numRef>
          </c:yVal>
          <c:smooth val="0"/>
          <c:extLst>
            <c:ext xmlns:c16="http://schemas.microsoft.com/office/drawing/2014/chart" uri="{C3380CC4-5D6E-409C-BE32-E72D297353CC}">
              <c16:uniqueId val="{00000001-D70B-43C4-8652-5A2A41C98CC2}"/>
            </c:ext>
          </c:extLst>
        </c:ser>
        <c:ser>
          <c:idx val="2"/>
          <c:order val="2"/>
          <c:tx>
            <c:strRef>
              <c:f>Calculations!$AU$7</c:f>
              <c:strCache>
                <c:ptCount val="1"/>
                <c:pt idx="0">
                  <c:v>Sedimentation</c:v>
                </c:pt>
              </c:strCache>
            </c:strRef>
          </c:tx>
          <c:spPr>
            <a:ln>
              <a:solidFill>
                <a:srgbClr val="FF0000"/>
              </a:solidFill>
            </a:ln>
          </c:spPr>
          <c:marker>
            <c:symbol val="none"/>
          </c:marker>
          <c:xVal>
            <c:numRef>
              <c:f>Calculations!$H$10:$H$110</c:f>
              <c:numCache>
                <c:formatCode>0.00</c:formatCode>
                <c:ptCount val="101"/>
                <c:pt idx="0">
                  <c:v>0.14336606282724537</c:v>
                </c:pt>
                <c:pt idx="1">
                  <c:v>0.2322413335505161</c:v>
                </c:pt>
                <c:pt idx="2">
                  <c:v>0.29078095561837292</c:v>
                </c:pt>
                <c:pt idx="3">
                  <c:v>0.35225361079967116</c:v>
                </c:pt>
                <c:pt idx="4">
                  <c:v>0.41684036708594741</c:v>
                </c:pt>
                <c:pt idx="5">
                  <c:v>0.48471773415081176</c:v>
                </c:pt>
                <c:pt idx="6">
                  <c:v>0.5560646209900284</c:v>
                </c:pt>
                <c:pt idx="7">
                  <c:v>0.63106558531942747</c:v>
                </c:pt>
                <c:pt idx="8">
                  <c:v>0.70991263957082107</c:v>
                </c:pt>
                <c:pt idx="9">
                  <c:v>0.79280643267804418</c:v>
                </c:pt>
                <c:pt idx="10">
                  <c:v>0.8799571434061344</c:v>
                </c:pt>
                <c:pt idx="11">
                  <c:v>0.97158523699262689</c:v>
                </c:pt>
                <c:pt idx="12">
                  <c:v>1.0679221594896104</c:v>
                </c:pt>
                <c:pt idx="13">
                  <c:v>1.1692110089483541</c:v>
                </c:pt>
                <c:pt idx="14">
                  <c:v>1.2757072054564977</c:v>
                </c:pt>
                <c:pt idx="15">
                  <c:v>1.3876791732551272</c:v>
                </c:pt>
                <c:pt idx="16">
                  <c:v>1.5054090434608158</c:v>
                </c:pt>
                <c:pt idx="17">
                  <c:v>1.6291933833126382</c:v>
                </c:pt>
                <c:pt idx="18">
                  <c:v>1.7593439563854476</c:v>
                </c:pt>
                <c:pt idx="19">
                  <c:v>1.8961885173611761</c:v>
                </c:pt>
                <c:pt idx="20">
                  <c:v>2.040071644464625</c:v>
                </c:pt>
                <c:pt idx="21">
                  <c:v>2.1913556124030822</c:v>
                </c:pt>
                <c:pt idx="22">
                  <c:v>2.3504213085169572</c:v>
                </c:pt>
                <c:pt idx="23">
                  <c:v>2.5176691948029086</c:v>
                </c:pt>
                <c:pt idx="24">
                  <c:v>2.6935203184825758</c:v>
                </c:pt>
                <c:pt idx="25">
                  <c:v>2.8784173738412435</c:v>
                </c:pt>
                <c:pt idx="26">
                  <c:v>3.072825818140585</c:v>
                </c:pt>
                <c:pt idx="27">
                  <c:v>3.2772350445110385</c:v>
                </c:pt>
                <c:pt idx="28">
                  <c:v>3.4921596148481027</c:v>
                </c:pt>
                <c:pt idx="29">
                  <c:v>3.7181405558699994</c:v>
                </c:pt>
                <c:pt idx="30">
                  <c:v>3.9557467216401307</c:v>
                </c:pt>
                <c:pt idx="31">
                  <c:v>4.205576226015439</c:v>
                </c:pt>
                <c:pt idx="32">
                  <c:v>4.4682579486506331</c:v>
                </c:pt>
                <c:pt idx="33">
                  <c:v>4.744453118368015</c:v>
                </c:pt>
                <c:pt idx="34">
                  <c:v>5.0348569778933312</c:v>
                </c:pt>
                <c:pt idx="35">
                  <c:v>5.3402005341597096</c:v>
                </c:pt>
                <c:pt idx="36">
                  <c:v>5.661252398594784</c:v>
                </c:pt>
                <c:pt idx="37">
                  <c:v>5.9988207220307359</c:v>
                </c:pt>
                <c:pt idx="38">
                  <c:v>6.3537552291137018</c:v>
                </c:pt>
                <c:pt idx="39">
                  <c:v>6.7269493573383023</c:v>
                </c:pt>
                <c:pt idx="40">
                  <c:v>7.1193425060955358</c:v>
                </c:pt>
                <c:pt idx="41">
                  <c:v>7.5319224013984512</c:v>
                </c:pt>
                <c:pt idx="42">
                  <c:v>7.9657275822406408</c:v>
                </c:pt>
                <c:pt idx="43">
                  <c:v>8.4218500148483049</c:v>
                </c:pt>
                <c:pt idx="44">
                  <c:v>8.9014378414081818</c:v>
                </c:pt>
                <c:pt idx="45">
                  <c:v>9.4056982701918415</c:v>
                </c:pt>
                <c:pt idx="46">
                  <c:v>9.935900614352537</c:v>
                </c:pt>
                <c:pt idx="47">
                  <c:v>10.493379487044788</c:v>
                </c:pt>
                <c:pt idx="48">
                  <c:v>11.079538160910248</c:v>
                </c:pt>
                <c:pt idx="49">
                  <c:v>11.695852100387</c:v>
                </c:pt>
                <c:pt idx="50">
                  <c:v>12.3438726757343</c:v>
                </c:pt>
                <c:pt idx="51">
                  <c:v>13.025231068122144</c:v>
                </c:pt>
                <c:pt idx="52">
                  <c:v>13.741642375615898</c:v>
                </c:pt>
                <c:pt idx="53">
                  <c:v>14.494909930391827</c:v>
                </c:pt>
                <c:pt idx="54">
                  <c:v>15.286929838051009</c:v>
                </c:pt>
                <c:pt idx="55">
                  <c:v>16.119695750458188</c:v>
                </c:pt>
                <c:pt idx="56">
                  <c:v>16.995303884119824</c:v>
                </c:pt>
                <c:pt idx="57">
                  <c:v>17.91595829673367</c:v>
                </c:pt>
                <c:pt idx="58">
                  <c:v>18.883976435192082</c:v>
                </c:pt>
                <c:pt idx="59">
                  <c:v>19.901794969004424</c:v>
                </c:pt>
                <c:pt idx="60">
                  <c:v>20.971975923822509</c:v>
                </c:pt>
                <c:pt idx="61">
                  <c:v>22.097213130508276</c:v>
                </c:pt>
                <c:pt idx="62">
                  <c:v>23.280339005977247</c:v>
                </c:pt>
                <c:pt idx="63">
                  <c:v>24.524331682886398</c:v>
                </c:pt>
                <c:pt idx="64">
                  <c:v>25.832322506113169</c:v>
                </c:pt>
                <c:pt idx="65">
                  <c:v>27.207603914895632</c:v>
                </c:pt>
                <c:pt idx="66">
                  <c:v>28.653637730474543</c:v>
                </c:pt>
                <c:pt idx="67">
                  <c:v>30.174063870098809</c:v>
                </c:pt>
                <c:pt idx="68">
                  <c:v>31.772709509329058</c:v>
                </c:pt>
                <c:pt idx="69">
                  <c:v>33.453598715702412</c:v>
                </c:pt>
                <c:pt idx="70">
                  <c:v>35.220962578008084</c:v>
                </c:pt>
                <c:pt idx="71">
                  <c:v>37.079249856671069</c:v>
                </c:pt>
                <c:pt idx="72">
                  <c:v>39.033138182052774</c:v>
                </c:pt>
                <c:pt idx="73">
                  <c:v>41.087545828856527</c:v>
                </c:pt>
                <c:pt idx="74">
                  <c:v>43.247644096276467</c:v>
                </c:pt>
                <c:pt idx="75">
                  <c:v>45.518870325052468</c:v>
                </c:pt>
                <c:pt idx="76">
                  <c:v>47.906941584197668</c:v>
                </c:pt>
                <c:pt idx="77">
                  <c:v>50.417869061850162</c:v>
                </c:pt>
                <c:pt idx="78">
                  <c:v>53.057973196473277</c:v>
                </c:pt>
                <c:pt idx="79">
                  <c:v>55.833899586492315</c:v>
                </c:pt>
                <c:pt idx="80">
                  <c:v>58.752635718414972</c:v>
                </c:pt>
                <c:pt idx="81">
                  <c:v>61.82152855554309</c:v>
                </c:pt>
                <c:pt idx="82">
                  <c:v>65.048303031549509</c:v>
                </c:pt>
                <c:pt idx="83">
                  <c:v>68.441081495471764</c:v>
                </c:pt>
                <c:pt idx="84">
                  <c:v>72.00840415706864</c:v>
                </c:pt>
                <c:pt idx="85">
                  <c:v>75.75925058400442</c:v>
                </c:pt>
                <c:pt idx="86">
                  <c:v>79.703062304973088</c:v>
                </c:pt>
                <c:pt idx="87">
                  <c:v>83.849766575657867</c:v>
                </c:pt>
                <c:pt idx="88">
                  <c:v>88.209801367349783</c:v>
                </c:pt>
                <c:pt idx="89">
                  <c:v>92.794141641125378</c:v>
                </c:pt>
                <c:pt idx="90">
                  <c:v>97.614326973720779</c:v>
                </c:pt>
                <c:pt idx="91">
                  <c:v>102.6824906046408</c:v>
                </c:pt>
                <c:pt idx="92">
                  <c:v>108.01138997761967</c:v>
                </c:pt>
                <c:pt idx="93">
                  <c:v>113.61443885331195</c:v>
                </c:pt>
                <c:pt idx="94">
                  <c:v>119.5057410740462</c:v>
                </c:pt>
                <c:pt idx="95">
                  <c:v>125.70012606563375</c:v>
                </c:pt>
                <c:pt idx="96">
                  <c:v>132.2131861655964</c:v>
                </c:pt>
                <c:pt idx="97">
                  <c:v>139.0613158717745</c:v>
                </c:pt>
                <c:pt idx="98">
                  <c:v>146.26175311011141</c:v>
                </c:pt>
                <c:pt idx="99">
                  <c:v>150.00000000000003</c:v>
                </c:pt>
                <c:pt idx="100">
                  <c:v>150.00000000000003</c:v>
                </c:pt>
              </c:numCache>
            </c:numRef>
          </c:xVal>
          <c:yVal>
            <c:numRef>
              <c:f>Calculations!$AU$10:$AU$110</c:f>
              <c:numCache>
                <c:formatCode>0.00</c:formatCode>
                <c:ptCount val="101"/>
                <c:pt idx="0">
                  <c:v>1.0606556304561348E-3</c:v>
                </c:pt>
                <c:pt idx="1">
                  <c:v>1.1660546861400195E-2</c:v>
                </c:pt>
                <c:pt idx="2">
                  <c:v>4.0914637077454415E-2</c:v>
                </c:pt>
                <c:pt idx="3">
                  <c:v>0.11085488363182881</c:v>
                </c:pt>
                <c:pt idx="4">
                  <c:v>0.25051162869962612</c:v>
                </c:pt>
                <c:pt idx="5">
                  <c:v>0.49513997082183808</c:v>
                </c:pt>
                <c:pt idx="6">
                  <c:v>0.88297772760748283</c:v>
                </c:pt>
                <c:pt idx="7">
                  <c:v>1.4512207088234381</c:v>
                </c:pt>
                <c:pt idx="8">
                  <c:v>2.2316907947937641</c:v>
                </c:pt>
                <c:pt idx="9">
                  <c:v>3.2466011717989161</c:v>
                </c:pt>
                <c:pt idx="10">
                  <c:v>4.504742352876165</c:v>
                </c:pt>
                <c:pt idx="11">
                  <c:v>5.9983350877833761</c:v>
                </c:pt>
                <c:pt idx="12">
                  <c:v>7.7007261069260107</c:v>
                </c:pt>
                <c:pt idx="13">
                  <c:v>9.5650404397840916</c:v>
                </c:pt>
                <c:pt idx="14">
                  <c:v>11.523849134816693</c:v>
                </c:pt>
                <c:pt idx="15">
                  <c:v>13.489862676865412</c:v>
                </c:pt>
                <c:pt idx="16">
                  <c:v>15.357617492577178</c:v>
                </c:pt>
                <c:pt idx="17">
                  <c:v>17.006085166652696</c:v>
                </c:pt>
                <c:pt idx="18">
                  <c:v>18.302101143130034</c:v>
                </c:pt>
                <c:pt idx="19">
                  <c:v>19.104481759092046</c:v>
                </c:pt>
                <c:pt idx="20">
                  <c:v>19.268675614077004</c:v>
                </c:pt>
                <c:pt idx="21">
                  <c:v>18.651777771151114</c:v>
                </c:pt>
                <c:pt idx="22">
                  <c:v>17.117723400586353</c:v>
                </c:pt>
                <c:pt idx="23">
                  <c:v>14.542471474923598</c:v>
                </c:pt>
                <c:pt idx="24">
                  <c:v>10.818989190496239</c:v>
                </c:pt>
                <c:pt idx="25">
                  <c:v>5.8618539928479603</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numCache>
            </c:numRef>
          </c:yVal>
          <c:smooth val="0"/>
          <c:extLst>
            <c:ext xmlns:c16="http://schemas.microsoft.com/office/drawing/2014/chart" uri="{C3380CC4-5D6E-409C-BE32-E72D297353CC}">
              <c16:uniqueId val="{00000002-D70B-43C4-8652-5A2A41C98CC2}"/>
            </c:ext>
          </c:extLst>
        </c:ser>
        <c:dLbls>
          <c:showLegendKey val="0"/>
          <c:showVal val="0"/>
          <c:showCatName val="0"/>
          <c:showSerName val="0"/>
          <c:showPercent val="0"/>
          <c:showBubbleSize val="0"/>
        </c:dLbls>
        <c:axId val="228505976"/>
        <c:axId val="228505584"/>
      </c:scatterChart>
      <c:valAx>
        <c:axId val="228505976"/>
        <c:scaling>
          <c:logBase val="10"/>
          <c:orientation val="minMax"/>
          <c:min val="0.1"/>
        </c:scaling>
        <c:delete val="0"/>
        <c:axPos val="b"/>
        <c:majorGridlines>
          <c:spPr>
            <a:ln w="3175">
              <a:solidFill>
                <a:srgbClr val="000000"/>
              </a:solidFill>
            </a:ln>
          </c:spPr>
        </c:majorGridlines>
        <c:minorGridlines/>
        <c:title>
          <c:tx>
            <c:rich>
              <a:bodyPr/>
              <a:lstStyle/>
              <a:p>
                <a:pPr>
                  <a:defRPr/>
                </a:pPr>
                <a:r>
                  <a:rPr lang="en-US" sz="1000"/>
                  <a:t>µm</a:t>
                </a:r>
              </a:p>
            </c:rich>
          </c:tx>
          <c:overlay val="0"/>
        </c:title>
        <c:numFmt formatCode="0" sourceLinked="0"/>
        <c:majorTickMark val="out"/>
        <c:minorTickMark val="none"/>
        <c:tickLblPos val="nextTo"/>
        <c:txPr>
          <a:bodyPr rot="0" vert="horz"/>
          <a:lstStyle/>
          <a:p>
            <a:pPr>
              <a:defRPr sz="900" b="0" i="0" u="none" strike="noStrike" baseline="0">
                <a:solidFill>
                  <a:srgbClr val="000000"/>
                </a:solidFill>
                <a:latin typeface="Verdana"/>
                <a:ea typeface="Verdana"/>
                <a:cs typeface="Verdana"/>
              </a:defRPr>
            </a:pPr>
            <a:endParaRPr lang="en-US"/>
          </a:p>
        </c:txPr>
        <c:crossAx val="228505584"/>
        <c:crossesAt val="0"/>
        <c:crossBetween val="midCat"/>
      </c:valAx>
      <c:valAx>
        <c:axId val="228505584"/>
        <c:scaling>
          <c:orientation val="minMax"/>
          <c:min val="0"/>
        </c:scaling>
        <c:delete val="0"/>
        <c:axPos val="l"/>
        <c:majorGridlines>
          <c:spPr>
            <a:ln w="3175">
              <a:solidFill>
                <a:schemeClr val="tx1"/>
              </a:solidFill>
            </a:ln>
          </c:spPr>
        </c:majorGridlines>
        <c:title>
          <c:tx>
            <c:rich>
              <a:bodyPr rot="-5400000" vert="horz"/>
              <a:lstStyle/>
              <a:p>
                <a:pPr>
                  <a:defRPr sz="1000"/>
                </a:pPr>
                <a:r>
                  <a:rPr lang="nl-NL" sz="1000" b="0" i="0" baseline="0"/>
                  <a:t>% (</a:t>
                </a:r>
                <a:r>
                  <a:rPr lang="nl-NL" sz="1000" b="0" i="0" u="none" strike="noStrike" baseline="0"/>
                  <a:t>Distribution density</a:t>
                </a:r>
                <a:r>
                  <a:rPr lang="nl-NL" sz="1000" b="0" i="0" baseline="0"/>
                  <a:t>)</a:t>
                </a:r>
                <a:endParaRPr lang="nl-NL" sz="1000"/>
              </a:p>
            </c:rich>
          </c:tx>
          <c:overlay val="0"/>
        </c:title>
        <c:numFmt formatCode="0" sourceLinked="0"/>
        <c:majorTickMark val="out"/>
        <c:minorTickMark val="none"/>
        <c:tickLblPos val="nextTo"/>
        <c:crossAx val="228505976"/>
        <c:crossesAt val="0.1"/>
        <c:crossBetween val="midCat"/>
      </c:valAx>
      <c:spPr>
        <a:gradFill rotWithShape="0">
          <a:gsLst>
            <a:gs pos="0">
              <a:srgbClr val="FFFFCC"/>
            </a:gs>
            <a:gs pos="50000">
              <a:srgbClr val="FFFFFF"/>
            </a:gs>
            <a:gs pos="100000">
              <a:srgbClr val="FFFFCC"/>
            </a:gs>
          </a:gsLst>
          <a:lin ang="0" scaled="1"/>
        </a:gradFill>
        <a:ln w="3175">
          <a:solidFill>
            <a:srgbClr val="000000"/>
          </a:solidFill>
          <a:prstDash val="solid"/>
        </a:ln>
      </c:spPr>
    </c:plotArea>
    <c:legend>
      <c:legendPos val="r"/>
      <c:layout>
        <c:manualLayout>
          <c:xMode val="edge"/>
          <c:yMode val="edge"/>
          <c:x val="0.10700698261773882"/>
          <c:y val="5.7107043967869482E-2"/>
          <c:w val="0.26052543054046412"/>
          <c:h val="0.17391617414729632"/>
        </c:manualLayout>
      </c:layout>
      <c:overlay val="0"/>
      <c:spPr>
        <a:solidFill>
          <a:srgbClr val="FFFFFF"/>
        </a:solidFill>
        <a:ln w="3175">
          <a:solidFill>
            <a:srgbClr val="000000"/>
          </a:solidFill>
          <a:prstDash val="solid"/>
        </a:ln>
      </c:spPr>
      <c:txPr>
        <a:bodyPr/>
        <a:lstStyle/>
        <a:p>
          <a:pPr>
            <a:defRPr sz="1010" b="0" i="0" u="none" strike="noStrike" baseline="0">
              <a:solidFill>
                <a:srgbClr val="000000"/>
              </a:solidFill>
              <a:latin typeface="Verdana"/>
              <a:ea typeface="Verdana"/>
              <a:cs typeface="Verdana"/>
            </a:defRPr>
          </a:pPr>
          <a:endParaRPr lang="en-US"/>
        </a:p>
      </c:txPr>
    </c:legend>
    <c:plotVisOnly val="0"/>
    <c:dispBlanksAs val="gap"/>
    <c:showDLblsOverMax val="0"/>
  </c:chart>
  <c:spPr>
    <a:solidFill>
      <a:srgbClr val="FFFFFF"/>
    </a:solidFill>
    <a:ln w="25400">
      <a:solidFill>
        <a:srgbClr val="000000"/>
      </a:solidFill>
      <a:prstDash val="solid"/>
    </a:ln>
  </c:spPr>
  <c:txPr>
    <a:bodyPr/>
    <a:lstStyle/>
    <a:p>
      <a:pPr>
        <a:defRPr sz="900" b="0" i="0" u="none" strike="noStrike" baseline="0">
          <a:solidFill>
            <a:srgbClr val="000000"/>
          </a:solidFill>
          <a:latin typeface="Verdana"/>
          <a:ea typeface="Verdana"/>
          <a:cs typeface="Verdana"/>
        </a:defRPr>
      </a:pPr>
      <a:endParaRPr lang="en-US"/>
    </a:p>
  </c:txPr>
  <c:printSettings>
    <c:headerFooter alignWithMargins="0"/>
    <c:pageMargins b="1" l="0.75000000000000078" r="0.75000000000000078" t="1" header="0.5" footer="0.5"/>
    <c:pageSetup paperSize="9" orientation="landscape" horizontalDpi="300" verticalDpi="300"/>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b="0" i="0" u="none" strike="noStrike" baseline="0">
                <a:solidFill>
                  <a:srgbClr val="000000"/>
                </a:solidFill>
                <a:latin typeface="Verdana"/>
                <a:ea typeface="Verdana"/>
                <a:cs typeface="Verdana"/>
              </a:defRPr>
            </a:pPr>
            <a:r>
              <a:rPr lang="nl-NL" sz="1100" baseline="0"/>
              <a:t>Cumulative</a:t>
            </a:r>
            <a:r>
              <a:rPr lang="nl-NL" sz="1050"/>
              <a:t> size distribution</a:t>
            </a:r>
          </a:p>
        </c:rich>
      </c:tx>
      <c:layout>
        <c:manualLayout>
          <c:xMode val="edge"/>
          <c:yMode val="edge"/>
          <c:x val="0.29617250090929648"/>
          <c:y val="1.3673974206461603E-2"/>
        </c:manualLayout>
      </c:layout>
      <c:overlay val="0"/>
      <c:spPr>
        <a:noFill/>
        <a:ln w="25400">
          <a:noFill/>
        </a:ln>
      </c:spPr>
    </c:title>
    <c:autoTitleDeleted val="0"/>
    <c:plotArea>
      <c:layout>
        <c:manualLayout>
          <c:layoutTarget val="inner"/>
          <c:xMode val="edge"/>
          <c:yMode val="edge"/>
          <c:x val="0.10073901511872251"/>
          <c:y val="6.8368398844146888E-2"/>
          <c:w val="0.85628162850914213"/>
          <c:h val="0.83682920185235632"/>
        </c:manualLayout>
      </c:layout>
      <c:scatterChart>
        <c:scatterStyle val="lineMarker"/>
        <c:varyColors val="0"/>
        <c:ser>
          <c:idx val="1"/>
          <c:order val="0"/>
          <c:tx>
            <c:strRef>
              <c:f>Calculations!$K$5</c:f>
              <c:strCache>
                <c:ptCount val="1"/>
                <c:pt idx="0">
                  <c:v>Total </c:v>
                </c:pt>
              </c:strCache>
            </c:strRef>
          </c:tx>
          <c:spPr>
            <a:ln w="25400">
              <a:solidFill>
                <a:srgbClr val="0000FF"/>
              </a:solidFill>
              <a:prstDash val="solid"/>
            </a:ln>
          </c:spPr>
          <c:marker>
            <c:symbol val="none"/>
          </c:marker>
          <c:xVal>
            <c:numRef>
              <c:f>Calculations!$F$9:$F$110</c:f>
              <c:numCache>
                <c:formatCode>0.00</c:formatCode>
                <c:ptCount val="102"/>
                <c:pt idx="0">
                  <c:v>0.1</c:v>
                </c:pt>
                <c:pt idx="1">
                  <c:v>0.20553827970585661</c:v>
                </c:pt>
                <c:pt idx="2">
                  <c:v>0.26241358586103425</c:v>
                </c:pt>
                <c:pt idx="3">
                  <c:v>0.32221488789498498</c:v>
                </c:pt>
                <c:pt idx="4">
                  <c:v>0.385092716019524</c:v>
                </c:pt>
                <c:pt idx="5">
                  <c:v>0.45120534459430817</c:v>
                </c:pt>
                <c:pt idx="6">
                  <c:v>0.52071919053075166</c:v>
                </c:pt>
                <c:pt idx="7">
                  <c:v>0.59380923219215076</c:v>
                </c:pt>
                <c:pt idx="8">
                  <c:v>0.67065944984446435</c:v>
                </c:pt>
                <c:pt idx="9">
                  <c:v>0.75146328876643709</c:v>
                </c:pt>
                <c:pt idx="10">
                  <c:v>0.83642414618479644</c:v>
                </c:pt>
                <c:pt idx="11">
                  <c:v>0.92575588326022318</c:v>
                </c:pt>
                <c:pt idx="12">
                  <c:v>1.019683363412851</c:v>
                </c:pt>
                <c:pt idx="13">
                  <c:v>1.1184430183423544</c:v>
                </c:pt>
                <c:pt idx="14">
                  <c:v>1.2222834431673961</c:v>
                </c:pt>
                <c:pt idx="15">
                  <c:v>1.3314660221825032</c:v>
                </c:pt>
                <c:pt idx="16">
                  <c:v>1.4462655868075056</c:v>
                </c:pt>
                <c:pt idx="17">
                  <c:v>1.5669711073857155</c:v>
                </c:pt>
                <c:pt idx="18">
                  <c:v>1.6938864205722219</c:v>
                </c:pt>
                <c:pt idx="19">
                  <c:v>1.8273309941432561</c:v>
                </c:pt>
                <c:pt idx="20">
                  <c:v>1.9676407311517963</c:v>
                </c:pt>
                <c:pt idx="21">
                  <c:v>2.1151688154535995</c:v>
                </c:pt>
                <c:pt idx="22">
                  <c:v>2.2702866007320024</c:v>
                </c:pt>
                <c:pt idx="23">
                  <c:v>2.4333845452593175</c:v>
                </c:pt>
                <c:pt idx="24">
                  <c:v>2.6048731947477859</c:v>
                </c:pt>
                <c:pt idx="25">
                  <c:v>2.785184215764076</c:v>
                </c:pt>
                <c:pt idx="26">
                  <c:v>2.9747714823086375</c:v>
                </c:pt>
                <c:pt idx="27">
                  <c:v>3.1741122182949932</c:v>
                </c:pt>
                <c:pt idx="28">
                  <c:v>3.3837081988048028</c:v>
                </c:pt>
                <c:pt idx="29">
                  <c:v>3.6040870131424581</c:v>
                </c:pt>
                <c:pt idx="30">
                  <c:v>3.8358033928685358</c:v>
                </c:pt>
                <c:pt idx="31">
                  <c:v>4.0794406081550028</c:v>
                </c:pt>
                <c:pt idx="32">
                  <c:v>4.33561193597704</c:v>
                </c:pt>
                <c:pt idx="33">
                  <c:v>4.604962203837168</c:v>
                </c:pt>
                <c:pt idx="34">
                  <c:v>4.8881694129075051</c:v>
                </c:pt>
                <c:pt idx="35">
                  <c:v>5.1859464446759027</c:v>
                </c:pt>
                <c:pt idx="36">
                  <c:v>5.4990428553918234</c:v>
                </c:pt>
                <c:pt idx="37">
                  <c:v>5.8282467628289734</c:v>
                </c:pt>
                <c:pt idx="38">
                  <c:v>6.1743868301139306</c:v>
                </c:pt>
                <c:pt idx="39">
                  <c:v>6.5383343516144414</c:v>
                </c:pt>
                <c:pt idx="40">
                  <c:v>6.9210054461379213</c:v>
                </c:pt>
                <c:pt idx="41">
                  <c:v>7.3233633629608068</c:v>
                </c:pt>
                <c:pt idx="42">
                  <c:v>7.746420906493455</c:v>
                </c:pt>
                <c:pt idx="43">
                  <c:v>8.1912429856838607</c:v>
                </c:pt>
                <c:pt idx="44">
                  <c:v>8.6589492945775302</c:v>
                </c:pt>
                <c:pt idx="45">
                  <c:v>9.1507171307808726</c:v>
                </c:pt>
                <c:pt idx="46">
                  <c:v>9.6677843589227521</c:v>
                </c:pt>
                <c:pt idx="47">
                  <c:v>10.211452526573668</c:v>
                </c:pt>
                <c:pt idx="48">
                  <c:v>10.783090140465921</c:v>
                </c:pt>
                <c:pt idx="49">
                  <c:v>11.384136111261549</c:v>
                </c:pt>
                <c:pt idx="50">
                  <c:v>12.016103375539148</c:v>
                </c:pt>
                <c:pt idx="51">
                  <c:v>12.680582704116688</c:v>
                </c:pt>
                <c:pt idx="52">
                  <c:v>13.379246706296559</c:v>
                </c:pt>
                <c:pt idx="53">
                  <c:v>14.113854040112276</c:v>
                </c:pt>
                <c:pt idx="54">
                  <c:v>14.886253839174621</c:v>
                </c:pt>
                <c:pt idx="55">
                  <c:v>15.698390367260549</c:v>
                </c:pt>
                <c:pt idx="56">
                  <c:v>16.552307912361083</c:v>
                </c:pt>
                <c:pt idx="57">
                  <c:v>17.450155932507485</c:v>
                </c:pt>
                <c:pt idx="58">
                  <c:v>18.394194466328578</c:v>
                </c:pt>
                <c:pt idx="59">
                  <c:v>19.386799821958551</c:v>
                </c:pt>
                <c:pt idx="60">
                  <c:v>20.430470558615159</c:v>
                </c:pt>
                <c:pt idx="61">
                  <c:v>21.52783377590514</c:v>
                </c:pt>
                <c:pt idx="62">
                  <c:v>22.681651726687832</c:v>
                </c:pt>
                <c:pt idx="63">
                  <c:v>23.894828770143068</c:v>
                </c:pt>
                <c:pt idx="64">
                  <c:v>25.170418682545115</c:v>
                </c:pt>
                <c:pt idx="65">
                  <c:v>26.511632344145255</c:v>
                </c:pt>
                <c:pt idx="66">
                  <c:v>27.92184582151236</c:v>
                </c:pt>
                <c:pt idx="67">
                  <c:v>29.404608865675772</c:v>
                </c:pt>
                <c:pt idx="68">
                  <c:v>30.963653847462183</c:v>
                </c:pt>
                <c:pt idx="69">
                  <c:v>32.602905152518019</c:v>
                </c:pt>
                <c:pt idx="70">
                  <c:v>34.326489059666251</c:v>
                </c:pt>
                <c:pt idx="71">
                  <c:v>36.138744127463262</c:v>
                </c:pt>
                <c:pt idx="72">
                  <c:v>38.044232115100613</c:v>
                </c:pt>
                <c:pt idx="73">
                  <c:v>40.047749465141145</c:v>
                </c:pt>
                <c:pt idx="74">
                  <c:v>42.154339376993896</c:v>
                </c:pt>
                <c:pt idx="75">
                  <c:v>44.369304501518563</c:v>
                </c:pt>
                <c:pt idx="76">
                  <c:v>46.698220288713969</c:v>
                </c:pt>
                <c:pt idx="77">
                  <c:v>49.14694902208943</c:v>
                </c:pt>
                <c:pt idx="78">
                  <c:v>51.721654575045257</c:v>
                </c:pt>
                <c:pt idx="79">
                  <c:v>54.42881792640744</c:v>
                </c:pt>
                <c:pt idx="80">
                  <c:v>57.275253474171336</c:v>
                </c:pt>
                <c:pt idx="81">
                  <c:v>60.268126188519034</c:v>
                </c:pt>
                <c:pt idx="82">
                  <c:v>63.414969647287528</c:v>
                </c:pt>
                <c:pt idx="83">
                  <c:v>66.72370499928607</c:v>
                </c:pt>
                <c:pt idx="84">
                  <c:v>70.202660903196673</c:v>
                </c:pt>
                <c:pt idx="85">
                  <c:v>73.860594492247102</c:v>
                </c:pt>
                <c:pt idx="86">
                  <c:v>77.706713417428915</c:v>
                </c:pt>
                <c:pt idx="87">
                  <c:v>81.750699024745984</c:v>
                </c:pt>
                <c:pt idx="88">
                  <c:v>86.002730724835615</c:v>
                </c:pt>
                <c:pt idx="89">
                  <c:v>90.473511616304265</c:v>
                </c:pt>
                <c:pt idx="90">
                  <c:v>95.174295427276121</c:v>
                </c:pt>
                <c:pt idx="91">
                  <c:v>100.11691484297211</c:v>
                </c:pt>
                <c:pt idx="92">
                  <c:v>105.31381129062308</c:v>
                </c:pt>
                <c:pt idx="93">
                  <c:v>110.77806625669237</c:v>
                </c:pt>
                <c:pt idx="94">
                  <c:v>116.5234342152379</c:v>
                </c:pt>
                <c:pt idx="95">
                  <c:v>122.56437725030034</c:v>
                </c:pt>
                <c:pt idx="96">
                  <c:v>128.91610145946791</c:v>
                </c:pt>
                <c:pt idx="97">
                  <c:v>135.59459523025203</c:v>
                </c:pt>
                <c:pt idx="98">
                  <c:v>142.6166694856212</c:v>
                </c:pt>
                <c:pt idx="99">
                  <c:v>150.00000000000003</c:v>
                </c:pt>
                <c:pt idx="100">
                  <c:v>150.00000000000003</c:v>
                </c:pt>
                <c:pt idx="101">
                  <c:v>150.00000000000003</c:v>
                </c:pt>
              </c:numCache>
            </c:numRef>
          </c:xVal>
          <c:yVal>
            <c:numRef>
              <c:f>Calculations!$G$9:$G$110</c:f>
              <c:numCache>
                <c:formatCode>0.00</c:formatCode>
                <c:ptCount val="102"/>
                <c:pt idx="0">
                  <c:v>4.2178545661123111E-6</c:v>
                </c:pt>
                <c:pt idx="1">
                  <c:v>7.867306237741953E-4</c:v>
                </c:pt>
                <c:pt idx="2">
                  <c:v>3.6588958514231955E-3</c:v>
                </c:pt>
                <c:pt idx="3">
                  <c:v>1.2149895734768615E-2</c:v>
                </c:pt>
                <c:pt idx="4">
                  <c:v>3.2203133383978851E-2</c:v>
                </c:pt>
                <c:pt idx="5">
                  <c:v>7.2685774960237121E-2</c:v>
                </c:pt>
                <c:pt idx="6">
                  <c:v>0.14551996634625147</c:v>
                </c:pt>
                <c:pt idx="7">
                  <c:v>0.265539257177274</c:v>
                </c:pt>
                <c:pt idx="8">
                  <c:v>0.45010862084684017</c:v>
                </c:pt>
                <c:pt idx="9">
                  <c:v>0.71855859313815984</c:v>
                </c:pt>
                <c:pt idx="10">
                  <c:v>1.0914872149009542</c:v>
                </c:pt>
                <c:pt idx="11">
                  <c:v>1.5899817910373093</c:v>
                </c:pt>
                <c:pt idx="12">
                  <c:v>2.2348082777695955</c:v>
                </c:pt>
                <c:pt idx="13">
                  <c:v>3.0456106324129397</c:v>
                </c:pt>
                <c:pt idx="14">
                  <c:v>4.0401563750952514</c:v>
                </c:pt>
                <c:pt idx="15">
                  <c:v>5.233658286741977</c:v>
                </c:pt>
                <c:pt idx="16">
                  <c:v>6.6381958164096728</c:v>
                </c:pt>
                <c:pt idx="17">
                  <c:v>8.2622535356609248</c:v>
                </c:pt>
                <c:pt idx="18">
                  <c:v>10.110387968237992</c:v>
                </c:pt>
                <c:pt idx="19">
                  <c:v>12.183028436744371</c:v>
                </c:pt>
                <c:pt idx="20">
                  <c:v>14.476412294996008</c:v>
                </c:pt>
                <c:pt idx="21">
                  <c:v>16.982650140160022</c:v>
                </c:pt>
                <c:pt idx="22">
                  <c:v>19.689912399863228</c:v>
                </c:pt>
                <c:pt idx="23">
                  <c:v>22.582725131866287</c:v>
                </c:pt>
                <c:pt idx="24">
                  <c:v>25.642360008451369</c:v>
                </c:pt>
                <c:pt idx="25">
                  <c:v>28.847301317110812</c:v>
                </c:pt>
                <c:pt idx="26">
                  <c:v>32.173771405923603</c:v>
                </c:pt>
                <c:pt idx="27">
                  <c:v>35.596295327168946</c:v>
                </c:pt>
                <c:pt idx="28">
                  <c:v>39.088285455715564</c:v>
                </c:pt>
                <c:pt idx="29">
                  <c:v>42.622627528486987</c:v>
                </c:pt>
                <c:pt idx="30">
                  <c:v>46.172250798313719</c:v>
                </c:pt>
                <c:pt idx="31">
                  <c:v>49.710666734670497</c:v>
                </c:pt>
                <c:pt idx="32">
                  <c:v>53.212462838154309</c:v>
                </c:pt>
                <c:pt idx="33">
                  <c:v>56.6537405602514</c:v>
                </c:pt>
                <c:pt idx="34">
                  <c:v>60.012488926651777</c:v>
                </c:pt>
                <c:pt idx="35">
                  <c:v>63.268888143674729</c:v>
                </c:pt>
                <c:pt idx="36">
                  <c:v>66.405540120907816</c:v>
                </c:pt>
                <c:pt idx="37">
                  <c:v>69.407625375397686</c:v>
                </c:pt>
                <c:pt idx="38">
                  <c:v>72.262988112125456</c:v>
                </c:pt>
                <c:pt idx="39">
                  <c:v>74.962153335000195</c:v>
                </c:pt>
                <c:pt idx="40">
                  <c:v>77.498281581301882</c:v>
                </c:pt>
                <c:pt idx="41">
                  <c:v>79.867068256488594</c:v>
                </c:pt>
                <c:pt idx="42">
                  <c:v>82.066595558651684</c:v>
                </c:pt>
                <c:pt idx="43">
                  <c:v>84.097145622005925</c:v>
                </c:pt>
                <c:pt idx="44">
                  <c:v>85.96098379081765</c:v>
                </c:pt>
                <c:pt idx="45">
                  <c:v>87.662120886102059</c:v>
                </c:pt>
                <c:pt idx="46">
                  <c:v>89.206062984695805</c:v>
                </c:pt>
                <c:pt idx="47">
                  <c:v>90.599556639124927</c:v>
                </c:pt>
                <c:pt idx="48">
                  <c:v>91.850336677237792</c:v>
                </c:pt>
                <c:pt idx="49">
                  <c:v>92.966882785338441</c:v>
                </c:pt>
                <c:pt idx="50">
                  <c:v>93.95819004976012</c:v>
                </c:pt>
                <c:pt idx="51">
                  <c:v>94.833557559184456</c:v>
                </c:pt>
                <c:pt idx="52">
                  <c:v>95.602398098876421</c:v>
                </c:pt>
                <c:pt idx="53">
                  <c:v>96.274070937877028</c:v>
                </c:pt>
                <c:pt idx="54">
                  <c:v>96.857738753749842</c:v>
                </c:pt>
                <c:pt idx="55">
                  <c:v>97.362248882010022</c:v>
                </c:pt>
                <c:pt idx="56">
                  <c:v>97.796038336658583</c:v>
                </c:pt>
                <c:pt idx="57">
                  <c:v>98.167061434826891</c:v>
                </c:pt>
                <c:pt idx="58">
                  <c:v>98.482738376222983</c:v>
                </c:pt>
                <c:pt idx="59">
                  <c:v>98.749922774787294</c:v>
                </c:pt>
                <c:pt idx="60">
                  <c:v>98.974885908696635</c:v>
                </c:pt>
                <c:pt idx="61">
                  <c:v>99.163315334726747</c:v>
                </c:pt>
                <c:pt idx="62">
                  <c:v>99.320325490332436</c:v>
                </c:pt>
                <c:pt idx="63">
                  <c:v>99.450477966241095</c:v>
                </c:pt>
                <c:pt idx="64">
                  <c:v>99.557809257725992</c:v>
                </c:pt>
                <c:pt idx="65">
                  <c:v>99.645863977956381</c:v>
                </c:pt>
                <c:pt idx="66">
                  <c:v>99.717731726622233</c:v>
                </c:pt>
                <c:pt idx="67">
                  <c:v>99.776086037434325</c:v>
                </c:pt>
                <c:pt idx="68">
                  <c:v>99.823224066846393</c:v>
                </c:pt>
                <c:pt idx="69">
                  <c:v>99.86110592311573</c:v>
                </c:pt>
                <c:pt idx="70">
                  <c:v>99.891392761328973</c:v>
                </c:pt>
                <c:pt idx="71">
                  <c:v>99.915482980005493</c:v>
                </c:pt>
                <c:pt idx="72">
                  <c:v>99.93454604398984</c:v>
                </c:pt>
                <c:pt idx="73">
                  <c:v>99.949553623914369</c:v>
                </c:pt>
                <c:pt idx="74">
                  <c:v>99.961307883405098</c:v>
                </c:pt>
                <c:pt idx="75">
                  <c:v>99.970466861500014</c:v>
                </c:pt>
                <c:pt idx="76">
                  <c:v>99.977566990510311</c:v>
                </c:pt>
                <c:pt idx="77">
                  <c:v>99.9830428605582</c:v>
                </c:pt>
                <c:pt idx="78">
                  <c:v>99.987244393532322</c:v>
                </c:pt>
                <c:pt idx="79">
                  <c:v>99.99045162375549</c:v>
                </c:pt>
                <c:pt idx="80">
                  <c:v>99.992887302902375</c:v>
                </c:pt>
                <c:pt idx="81">
                  <c:v>99.994727555246499</c:v>
                </c:pt>
                <c:pt idx="82">
                  <c:v>99.996110808619989</c:v>
                </c:pt>
                <c:pt idx="83">
                  <c:v>99.997145218784084</c:v>
                </c:pt>
                <c:pt idx="84">
                  <c:v>99.997914792216179</c:v>
                </c:pt>
                <c:pt idx="85">
                  <c:v>99.998484396315192</c:v>
                </c:pt>
                <c:pt idx="86">
                  <c:v>99.99890382811752</c:v>
                </c:pt>
                <c:pt idx="87">
                  <c:v>99.999211093924174</c:v>
                </c:pt>
                <c:pt idx="88">
                  <c:v>99.999435033635834</c:v>
                </c:pt>
                <c:pt idx="89">
                  <c:v>99.99959740571289</c:v>
                </c:pt>
                <c:pt idx="90">
                  <c:v>99.999714531965083</c:v>
                </c:pt>
                <c:pt idx="91">
                  <c:v>99.999798586105797</c:v>
                </c:pt>
                <c:pt idx="92">
                  <c:v>99.999858596326064</c:v>
                </c:pt>
                <c:pt idx="93">
                  <c:v>99.999901220093406</c:v>
                </c:pt>
                <c:pt idx="94">
                  <c:v>99.999931338930395</c:v>
                </c:pt>
                <c:pt idx="95">
                  <c:v>99.999952511986933</c:v>
                </c:pt>
                <c:pt idx="96">
                  <c:v>99.999967319671185</c:v>
                </c:pt>
                <c:pt idx="97">
                  <c:v>99.999977622303277</c:v>
                </c:pt>
                <c:pt idx="98">
                  <c:v>99.999984753557641</c:v>
                </c:pt>
                <c:pt idx="99">
                  <c:v>99.999989664214397</c:v>
                </c:pt>
                <c:pt idx="100">
                  <c:v>99.999989664214397</c:v>
                </c:pt>
                <c:pt idx="101">
                  <c:v>99.999989664214397</c:v>
                </c:pt>
              </c:numCache>
            </c:numRef>
          </c:yVal>
          <c:smooth val="0"/>
          <c:extLst>
            <c:ext xmlns:c16="http://schemas.microsoft.com/office/drawing/2014/chart" uri="{C3380CC4-5D6E-409C-BE32-E72D297353CC}">
              <c16:uniqueId val="{00000000-61C2-4D7C-A1D9-6B4693B7D37C}"/>
            </c:ext>
          </c:extLst>
        </c:ser>
        <c:ser>
          <c:idx val="0"/>
          <c:order val="1"/>
          <c:tx>
            <c:strRef>
              <c:f>Calculations!$S$4</c:f>
              <c:strCache>
                <c:ptCount val="1"/>
                <c:pt idx="0">
                  <c:v>SWeRF</c:v>
                </c:pt>
              </c:strCache>
            </c:strRef>
          </c:tx>
          <c:spPr>
            <a:ln w="25400">
              <a:solidFill>
                <a:srgbClr val="008000"/>
              </a:solidFill>
              <a:prstDash val="solid"/>
            </a:ln>
          </c:spPr>
          <c:marker>
            <c:symbol val="none"/>
          </c:marker>
          <c:xVal>
            <c:numRef>
              <c:f>Calculations!$F$9:$F$110</c:f>
              <c:numCache>
                <c:formatCode>0.00</c:formatCode>
                <c:ptCount val="102"/>
                <c:pt idx="0">
                  <c:v>0.1</c:v>
                </c:pt>
                <c:pt idx="1">
                  <c:v>0.20553827970585661</c:v>
                </c:pt>
                <c:pt idx="2">
                  <c:v>0.26241358586103425</c:v>
                </c:pt>
                <c:pt idx="3">
                  <c:v>0.32221488789498498</c:v>
                </c:pt>
                <c:pt idx="4">
                  <c:v>0.385092716019524</c:v>
                </c:pt>
                <c:pt idx="5">
                  <c:v>0.45120534459430817</c:v>
                </c:pt>
                <c:pt idx="6">
                  <c:v>0.52071919053075166</c:v>
                </c:pt>
                <c:pt idx="7">
                  <c:v>0.59380923219215076</c:v>
                </c:pt>
                <c:pt idx="8">
                  <c:v>0.67065944984446435</c:v>
                </c:pt>
                <c:pt idx="9">
                  <c:v>0.75146328876643709</c:v>
                </c:pt>
                <c:pt idx="10">
                  <c:v>0.83642414618479644</c:v>
                </c:pt>
                <c:pt idx="11">
                  <c:v>0.92575588326022318</c:v>
                </c:pt>
                <c:pt idx="12">
                  <c:v>1.019683363412851</c:v>
                </c:pt>
                <c:pt idx="13">
                  <c:v>1.1184430183423544</c:v>
                </c:pt>
                <c:pt idx="14">
                  <c:v>1.2222834431673961</c:v>
                </c:pt>
                <c:pt idx="15">
                  <c:v>1.3314660221825032</c:v>
                </c:pt>
                <c:pt idx="16">
                  <c:v>1.4462655868075056</c:v>
                </c:pt>
                <c:pt idx="17">
                  <c:v>1.5669711073857155</c:v>
                </c:pt>
                <c:pt idx="18">
                  <c:v>1.6938864205722219</c:v>
                </c:pt>
                <c:pt idx="19">
                  <c:v>1.8273309941432561</c:v>
                </c:pt>
                <c:pt idx="20">
                  <c:v>1.9676407311517963</c:v>
                </c:pt>
                <c:pt idx="21">
                  <c:v>2.1151688154535995</c:v>
                </c:pt>
                <c:pt idx="22">
                  <c:v>2.2702866007320024</c:v>
                </c:pt>
                <c:pt idx="23">
                  <c:v>2.4333845452593175</c:v>
                </c:pt>
                <c:pt idx="24">
                  <c:v>2.6048731947477859</c:v>
                </c:pt>
                <c:pt idx="25">
                  <c:v>2.785184215764076</c:v>
                </c:pt>
                <c:pt idx="26">
                  <c:v>2.9747714823086375</c:v>
                </c:pt>
                <c:pt idx="27">
                  <c:v>3.1741122182949932</c:v>
                </c:pt>
                <c:pt idx="28">
                  <c:v>3.3837081988048028</c:v>
                </c:pt>
                <c:pt idx="29">
                  <c:v>3.6040870131424581</c:v>
                </c:pt>
                <c:pt idx="30">
                  <c:v>3.8358033928685358</c:v>
                </c:pt>
                <c:pt idx="31">
                  <c:v>4.0794406081550028</c:v>
                </c:pt>
                <c:pt idx="32">
                  <c:v>4.33561193597704</c:v>
                </c:pt>
                <c:pt idx="33">
                  <c:v>4.604962203837168</c:v>
                </c:pt>
                <c:pt idx="34">
                  <c:v>4.8881694129075051</c:v>
                </c:pt>
                <c:pt idx="35">
                  <c:v>5.1859464446759027</c:v>
                </c:pt>
                <c:pt idx="36">
                  <c:v>5.4990428553918234</c:v>
                </c:pt>
                <c:pt idx="37">
                  <c:v>5.8282467628289734</c:v>
                </c:pt>
                <c:pt idx="38">
                  <c:v>6.1743868301139306</c:v>
                </c:pt>
                <c:pt idx="39">
                  <c:v>6.5383343516144414</c:v>
                </c:pt>
                <c:pt idx="40">
                  <c:v>6.9210054461379213</c:v>
                </c:pt>
                <c:pt idx="41">
                  <c:v>7.3233633629608068</c:v>
                </c:pt>
                <c:pt idx="42">
                  <c:v>7.746420906493455</c:v>
                </c:pt>
                <c:pt idx="43">
                  <c:v>8.1912429856838607</c:v>
                </c:pt>
                <c:pt idx="44">
                  <c:v>8.6589492945775302</c:v>
                </c:pt>
                <c:pt idx="45">
                  <c:v>9.1507171307808726</c:v>
                </c:pt>
                <c:pt idx="46">
                  <c:v>9.6677843589227521</c:v>
                </c:pt>
                <c:pt idx="47">
                  <c:v>10.211452526573668</c:v>
                </c:pt>
                <c:pt idx="48">
                  <c:v>10.783090140465921</c:v>
                </c:pt>
                <c:pt idx="49">
                  <c:v>11.384136111261549</c:v>
                </c:pt>
                <c:pt idx="50">
                  <c:v>12.016103375539148</c:v>
                </c:pt>
                <c:pt idx="51">
                  <c:v>12.680582704116688</c:v>
                </c:pt>
                <c:pt idx="52">
                  <c:v>13.379246706296559</c:v>
                </c:pt>
                <c:pt idx="53">
                  <c:v>14.113854040112276</c:v>
                </c:pt>
                <c:pt idx="54">
                  <c:v>14.886253839174621</c:v>
                </c:pt>
                <c:pt idx="55">
                  <c:v>15.698390367260549</c:v>
                </c:pt>
                <c:pt idx="56">
                  <c:v>16.552307912361083</c:v>
                </c:pt>
                <c:pt idx="57">
                  <c:v>17.450155932507485</c:v>
                </c:pt>
                <c:pt idx="58">
                  <c:v>18.394194466328578</c:v>
                </c:pt>
                <c:pt idx="59">
                  <c:v>19.386799821958551</c:v>
                </c:pt>
                <c:pt idx="60">
                  <c:v>20.430470558615159</c:v>
                </c:pt>
                <c:pt idx="61">
                  <c:v>21.52783377590514</c:v>
                </c:pt>
                <c:pt idx="62">
                  <c:v>22.681651726687832</c:v>
                </c:pt>
                <c:pt idx="63">
                  <c:v>23.894828770143068</c:v>
                </c:pt>
                <c:pt idx="64">
                  <c:v>25.170418682545115</c:v>
                </c:pt>
                <c:pt idx="65">
                  <c:v>26.511632344145255</c:v>
                </c:pt>
                <c:pt idx="66">
                  <c:v>27.92184582151236</c:v>
                </c:pt>
                <c:pt idx="67">
                  <c:v>29.404608865675772</c:v>
                </c:pt>
                <c:pt idx="68">
                  <c:v>30.963653847462183</c:v>
                </c:pt>
                <c:pt idx="69">
                  <c:v>32.602905152518019</c:v>
                </c:pt>
                <c:pt idx="70">
                  <c:v>34.326489059666251</c:v>
                </c:pt>
                <c:pt idx="71">
                  <c:v>36.138744127463262</c:v>
                </c:pt>
                <c:pt idx="72">
                  <c:v>38.044232115100613</c:v>
                </c:pt>
                <c:pt idx="73">
                  <c:v>40.047749465141145</c:v>
                </c:pt>
                <c:pt idx="74">
                  <c:v>42.154339376993896</c:v>
                </c:pt>
                <c:pt idx="75">
                  <c:v>44.369304501518563</c:v>
                </c:pt>
                <c:pt idx="76">
                  <c:v>46.698220288713969</c:v>
                </c:pt>
                <c:pt idx="77">
                  <c:v>49.14694902208943</c:v>
                </c:pt>
                <c:pt idx="78">
                  <c:v>51.721654575045257</c:v>
                </c:pt>
                <c:pt idx="79">
                  <c:v>54.42881792640744</c:v>
                </c:pt>
                <c:pt idx="80">
                  <c:v>57.275253474171336</c:v>
                </c:pt>
                <c:pt idx="81">
                  <c:v>60.268126188519034</c:v>
                </c:pt>
                <c:pt idx="82">
                  <c:v>63.414969647287528</c:v>
                </c:pt>
                <c:pt idx="83">
                  <c:v>66.72370499928607</c:v>
                </c:pt>
                <c:pt idx="84">
                  <c:v>70.202660903196673</c:v>
                </c:pt>
                <c:pt idx="85">
                  <c:v>73.860594492247102</c:v>
                </c:pt>
                <c:pt idx="86">
                  <c:v>77.706713417428915</c:v>
                </c:pt>
                <c:pt idx="87">
                  <c:v>81.750699024745984</c:v>
                </c:pt>
                <c:pt idx="88">
                  <c:v>86.002730724835615</c:v>
                </c:pt>
                <c:pt idx="89">
                  <c:v>90.473511616304265</c:v>
                </c:pt>
                <c:pt idx="90">
                  <c:v>95.174295427276121</c:v>
                </c:pt>
                <c:pt idx="91">
                  <c:v>100.11691484297211</c:v>
                </c:pt>
                <c:pt idx="92">
                  <c:v>105.31381129062308</c:v>
                </c:pt>
                <c:pt idx="93">
                  <c:v>110.77806625669237</c:v>
                </c:pt>
                <c:pt idx="94">
                  <c:v>116.5234342152379</c:v>
                </c:pt>
                <c:pt idx="95">
                  <c:v>122.56437725030034</c:v>
                </c:pt>
                <c:pt idx="96">
                  <c:v>128.91610145946791</c:v>
                </c:pt>
                <c:pt idx="97">
                  <c:v>135.59459523025203</c:v>
                </c:pt>
                <c:pt idx="98">
                  <c:v>142.6166694856212</c:v>
                </c:pt>
                <c:pt idx="99">
                  <c:v>150.00000000000003</c:v>
                </c:pt>
                <c:pt idx="100">
                  <c:v>150.00000000000003</c:v>
                </c:pt>
                <c:pt idx="101">
                  <c:v>150.00000000000003</c:v>
                </c:pt>
              </c:numCache>
            </c:numRef>
          </c:xVal>
          <c:yVal>
            <c:numRef>
              <c:f>Calculations!$S$9:$S$110</c:f>
              <c:numCache>
                <c:formatCode>0.00</c:formatCode>
                <c:ptCount val="102"/>
                <c:pt idx="0">
                  <c:v>4.1915293500244966E-6</c:v>
                </c:pt>
                <c:pt idx="1">
                  <c:v>7.7970792237030701E-4</c:v>
                </c:pt>
                <c:pt idx="2">
                  <c:v>3.6105049798941598E-3</c:v>
                </c:pt>
                <c:pt idx="3">
                  <c:v>1.1948934658558055E-2</c:v>
                </c:pt>
                <c:pt idx="4">
                  <c:v>3.1567208977156681E-2</c:v>
                </c:pt>
                <c:pt idx="5">
                  <c:v>7.1013418348230051E-2</c:v>
                </c:pt>
                <c:pt idx="6">
                  <c:v>0.14167756624628672</c:v>
                </c:pt>
                <c:pt idx="7">
                  <c:v>0.25755788586607675</c:v>
                </c:pt>
                <c:pt idx="8">
                  <c:v>0.43472461817324259</c:v>
                </c:pt>
                <c:pt idx="9">
                  <c:v>0.69045624663028493</c:v>
                </c:pt>
                <c:pt idx="10">
                  <c:v>1.0420078300838413</c:v>
                </c:pt>
                <c:pt idx="11">
                  <c:v>1.5049966236405252</c:v>
                </c:pt>
                <c:pt idx="12">
                  <c:v>2.0914751926493564</c:v>
                </c:pt>
                <c:pt idx="13">
                  <c:v>2.8078922464780574</c:v>
                </c:pt>
                <c:pt idx="14">
                  <c:v>3.6532688432099389</c:v>
                </c:pt>
                <c:pt idx="15">
                  <c:v>4.6179819248812644</c:v>
                </c:pt>
                <c:pt idx="16">
                  <c:v>5.6835044682578069</c:v>
                </c:pt>
                <c:pt idx="17">
                  <c:v>6.8232970716307193</c:v>
                </c:pt>
                <c:pt idx="18">
                  <c:v>8.0048176978232757</c:v>
                </c:pt>
                <c:pt idx="19">
                  <c:v>9.1923804579788229</c:v>
                </c:pt>
                <c:pt idx="20">
                  <c:v>10.350418744867675</c:v>
                </c:pt>
                <c:pt idx="21">
                  <c:v>11.446638771971104</c:v>
                </c:pt>
                <c:pt idx="22">
                  <c:v>12.454597661744451</c:v>
                </c:pt>
                <c:pt idx="23">
                  <c:v>13.355382528827514</c:v>
                </c:pt>
                <c:pt idx="24">
                  <c:v>14.138258263829341</c:v>
                </c:pt>
                <c:pt idx="25">
                  <c:v>14.800341301976456</c:v>
                </c:pt>
                <c:pt idx="26">
                  <c:v>15.345503500787363</c:v>
                </c:pt>
                <c:pt idx="27">
                  <c:v>15.782791740890985</c:v>
                </c:pt>
                <c:pt idx="28">
                  <c:v>16.124662420409944</c:v>
                </c:pt>
                <c:pt idx="29">
                  <c:v>16.385288819360852</c:v>
                </c:pt>
                <c:pt idx="30">
                  <c:v>16.57912504108047</c:v>
                </c:pt>
                <c:pt idx="31">
                  <c:v>16.719825656325032</c:v>
                </c:pt>
                <c:pt idx="32">
                  <c:v>16.819543642827295</c:v>
                </c:pt>
                <c:pt idx="33">
                  <c:v>16.888571953463067</c:v>
                </c:pt>
                <c:pt idx="34">
                  <c:v>16.935259982938955</c:v>
                </c:pt>
                <c:pt idx="35">
                  <c:v>16.96612353831696</c:v>
                </c:pt>
                <c:pt idx="36">
                  <c:v>16.986070466850954</c:v>
                </c:pt>
                <c:pt idx="37">
                  <c:v>16.998677535661574</c:v>
                </c:pt>
                <c:pt idx="38">
                  <c:v>17.006471710460733</c:v>
                </c:pt>
                <c:pt idx="39">
                  <c:v>17.011186326493135</c:v>
                </c:pt>
                <c:pt idx="40">
                  <c:v>17.013977186098888</c:v>
                </c:pt>
                <c:pt idx="41">
                  <c:v>17.015594276077948</c:v>
                </c:pt>
                <c:pt idx="42">
                  <c:v>17.016511590839531</c:v>
                </c:pt>
                <c:pt idx="43">
                  <c:v>17.017021120002841</c:v>
                </c:pt>
                <c:pt idx="44">
                  <c:v>17.017298298915392</c:v>
                </c:pt>
                <c:pt idx="45">
                  <c:v>17.017445992568859</c:v>
                </c:pt>
                <c:pt idx="46">
                  <c:v>17.017523090096979</c:v>
                </c:pt>
                <c:pt idx="47">
                  <c:v>17.017562523049552</c:v>
                </c:pt>
                <c:pt idx="48">
                  <c:v>17.017582287223444</c:v>
                </c:pt>
                <c:pt idx="49">
                  <c:v>17.017591995812658</c:v>
                </c:pt>
                <c:pt idx="50">
                  <c:v>17.017596670435942</c:v>
                </c:pt>
                <c:pt idx="51">
                  <c:v>17.017598876928748</c:v>
                </c:pt>
                <c:pt idx="52">
                  <c:v>17.017599898041254</c:v>
                </c:pt>
                <c:pt idx="53">
                  <c:v>17.017600361388876</c:v>
                </c:pt>
                <c:pt idx="54">
                  <c:v>17.017600567568987</c:v>
                </c:pt>
                <c:pt idx="55">
                  <c:v>17.017600657546552</c:v>
                </c:pt>
                <c:pt idx="56">
                  <c:v>17.017600696059535</c:v>
                </c:pt>
                <c:pt idx="57">
                  <c:v>17.017600712229154</c:v>
                </c:pt>
                <c:pt idx="58">
                  <c:v>17.017600718888662</c:v>
                </c:pt>
                <c:pt idx="59">
                  <c:v>17.017600721579335</c:v>
                </c:pt>
                <c:pt idx="60">
                  <c:v>17.017600722645874</c:v>
                </c:pt>
                <c:pt idx="61">
                  <c:v>17.017600723060642</c:v>
                </c:pt>
                <c:pt idx="62">
                  <c:v>17.017600723218898</c:v>
                </c:pt>
                <c:pt idx="63">
                  <c:v>17.017600723278143</c:v>
                </c:pt>
                <c:pt idx="64">
                  <c:v>17.017600723299903</c:v>
                </c:pt>
                <c:pt idx="65">
                  <c:v>17.017600723307744</c:v>
                </c:pt>
                <c:pt idx="66">
                  <c:v>17.017600723310515</c:v>
                </c:pt>
                <c:pt idx="67">
                  <c:v>17.017600723311478</c:v>
                </c:pt>
                <c:pt idx="68">
                  <c:v>17.017600723311805</c:v>
                </c:pt>
                <c:pt idx="69">
                  <c:v>17.017600723311915</c:v>
                </c:pt>
                <c:pt idx="70">
                  <c:v>17.017600723311951</c:v>
                </c:pt>
                <c:pt idx="71">
                  <c:v>17.017600723311961</c:v>
                </c:pt>
                <c:pt idx="72">
                  <c:v>17.017600723311965</c:v>
                </c:pt>
                <c:pt idx="73">
                  <c:v>17.017600723311965</c:v>
                </c:pt>
                <c:pt idx="74">
                  <c:v>17.017600723311965</c:v>
                </c:pt>
                <c:pt idx="75">
                  <c:v>17.017600723311965</c:v>
                </c:pt>
                <c:pt idx="76">
                  <c:v>17.017600723311965</c:v>
                </c:pt>
                <c:pt idx="77">
                  <c:v>17.017600723311965</c:v>
                </c:pt>
                <c:pt idx="78">
                  <c:v>17.017600723311965</c:v>
                </c:pt>
                <c:pt idx="79">
                  <c:v>17.017600723311965</c:v>
                </c:pt>
                <c:pt idx="80">
                  <c:v>17.017600723311965</c:v>
                </c:pt>
                <c:pt idx="81">
                  <c:v>17.017600723311965</c:v>
                </c:pt>
                <c:pt idx="82">
                  <c:v>17.017600723311965</c:v>
                </c:pt>
                <c:pt idx="83">
                  <c:v>17.017600723311965</c:v>
                </c:pt>
                <c:pt idx="84">
                  <c:v>17.017600723311965</c:v>
                </c:pt>
                <c:pt idx="85">
                  <c:v>17.017600723311965</c:v>
                </c:pt>
                <c:pt idx="86">
                  <c:v>17.017600723311965</c:v>
                </c:pt>
                <c:pt idx="87">
                  <c:v>17.017600723311965</c:v>
                </c:pt>
                <c:pt idx="88">
                  <c:v>17.017600723311965</c:v>
                </c:pt>
                <c:pt idx="89">
                  <c:v>17.017600723311965</c:v>
                </c:pt>
                <c:pt idx="90">
                  <c:v>17.017600723311965</c:v>
                </c:pt>
                <c:pt idx="91">
                  <c:v>17.017600723311965</c:v>
                </c:pt>
                <c:pt idx="92">
                  <c:v>17.017600723311965</c:v>
                </c:pt>
                <c:pt idx="93">
                  <c:v>17.017600723311965</c:v>
                </c:pt>
                <c:pt idx="94">
                  <c:v>17.017600723311965</c:v>
                </c:pt>
                <c:pt idx="95">
                  <c:v>17.017600723311965</c:v>
                </c:pt>
                <c:pt idx="96">
                  <c:v>17.017600723311965</c:v>
                </c:pt>
                <c:pt idx="97">
                  <c:v>17.017600723311965</c:v>
                </c:pt>
                <c:pt idx="98">
                  <c:v>17.017600723311965</c:v>
                </c:pt>
                <c:pt idx="99">
                  <c:v>17.017600723311965</c:v>
                </c:pt>
                <c:pt idx="100">
                  <c:v>17.017600723311965</c:v>
                </c:pt>
                <c:pt idx="101">
                  <c:v>17.017600723311965</c:v>
                </c:pt>
              </c:numCache>
            </c:numRef>
          </c:yVal>
          <c:smooth val="0"/>
          <c:extLst>
            <c:ext xmlns:c16="http://schemas.microsoft.com/office/drawing/2014/chart" uri="{C3380CC4-5D6E-409C-BE32-E72D297353CC}">
              <c16:uniqueId val="{00000001-61C2-4D7C-A1D9-6B4693B7D37C}"/>
            </c:ext>
          </c:extLst>
        </c:ser>
        <c:ser>
          <c:idx val="2"/>
          <c:order val="2"/>
          <c:tx>
            <c:strRef>
              <c:f>Calculations!$AU$7</c:f>
              <c:strCache>
                <c:ptCount val="1"/>
                <c:pt idx="0">
                  <c:v>Sedimentation</c:v>
                </c:pt>
              </c:strCache>
            </c:strRef>
          </c:tx>
          <c:spPr>
            <a:ln>
              <a:solidFill>
                <a:srgbClr val="FF0000"/>
              </a:solidFill>
            </a:ln>
          </c:spPr>
          <c:marker>
            <c:symbol val="none"/>
          </c:marker>
          <c:xVal>
            <c:numRef>
              <c:f>Calculations!$F$9:$F$110</c:f>
              <c:numCache>
                <c:formatCode>0.00</c:formatCode>
                <c:ptCount val="102"/>
                <c:pt idx="0">
                  <c:v>0.1</c:v>
                </c:pt>
                <c:pt idx="1">
                  <c:v>0.20553827970585661</c:v>
                </c:pt>
                <c:pt idx="2">
                  <c:v>0.26241358586103425</c:v>
                </c:pt>
                <c:pt idx="3">
                  <c:v>0.32221488789498498</c:v>
                </c:pt>
                <c:pt idx="4">
                  <c:v>0.385092716019524</c:v>
                </c:pt>
                <c:pt idx="5">
                  <c:v>0.45120534459430817</c:v>
                </c:pt>
                <c:pt idx="6">
                  <c:v>0.52071919053075166</c:v>
                </c:pt>
                <c:pt idx="7">
                  <c:v>0.59380923219215076</c:v>
                </c:pt>
                <c:pt idx="8">
                  <c:v>0.67065944984446435</c:v>
                </c:pt>
                <c:pt idx="9">
                  <c:v>0.75146328876643709</c:v>
                </c:pt>
                <c:pt idx="10">
                  <c:v>0.83642414618479644</c:v>
                </c:pt>
                <c:pt idx="11">
                  <c:v>0.92575588326022318</c:v>
                </c:pt>
                <c:pt idx="12">
                  <c:v>1.019683363412851</c:v>
                </c:pt>
                <c:pt idx="13">
                  <c:v>1.1184430183423544</c:v>
                </c:pt>
                <c:pt idx="14">
                  <c:v>1.2222834431673961</c:v>
                </c:pt>
                <c:pt idx="15">
                  <c:v>1.3314660221825032</c:v>
                </c:pt>
                <c:pt idx="16">
                  <c:v>1.4462655868075056</c:v>
                </c:pt>
                <c:pt idx="17">
                  <c:v>1.5669711073857155</c:v>
                </c:pt>
                <c:pt idx="18">
                  <c:v>1.6938864205722219</c:v>
                </c:pt>
                <c:pt idx="19">
                  <c:v>1.8273309941432561</c:v>
                </c:pt>
                <c:pt idx="20">
                  <c:v>1.9676407311517963</c:v>
                </c:pt>
                <c:pt idx="21">
                  <c:v>2.1151688154535995</c:v>
                </c:pt>
                <c:pt idx="22">
                  <c:v>2.2702866007320024</c:v>
                </c:pt>
                <c:pt idx="23">
                  <c:v>2.4333845452593175</c:v>
                </c:pt>
                <c:pt idx="24">
                  <c:v>2.6048731947477859</c:v>
                </c:pt>
                <c:pt idx="25">
                  <c:v>2.785184215764076</c:v>
                </c:pt>
                <c:pt idx="26">
                  <c:v>2.9747714823086375</c:v>
                </c:pt>
                <c:pt idx="27">
                  <c:v>3.1741122182949932</c:v>
                </c:pt>
                <c:pt idx="28">
                  <c:v>3.3837081988048028</c:v>
                </c:pt>
                <c:pt idx="29">
                  <c:v>3.6040870131424581</c:v>
                </c:pt>
                <c:pt idx="30">
                  <c:v>3.8358033928685358</c:v>
                </c:pt>
                <c:pt idx="31">
                  <c:v>4.0794406081550028</c:v>
                </c:pt>
                <c:pt idx="32">
                  <c:v>4.33561193597704</c:v>
                </c:pt>
                <c:pt idx="33">
                  <c:v>4.604962203837168</c:v>
                </c:pt>
                <c:pt idx="34">
                  <c:v>4.8881694129075051</c:v>
                </c:pt>
                <c:pt idx="35">
                  <c:v>5.1859464446759027</c:v>
                </c:pt>
                <c:pt idx="36">
                  <c:v>5.4990428553918234</c:v>
                </c:pt>
                <c:pt idx="37">
                  <c:v>5.8282467628289734</c:v>
                </c:pt>
                <c:pt idx="38">
                  <c:v>6.1743868301139306</c:v>
                </c:pt>
                <c:pt idx="39">
                  <c:v>6.5383343516144414</c:v>
                </c:pt>
                <c:pt idx="40">
                  <c:v>6.9210054461379213</c:v>
                </c:pt>
                <c:pt idx="41">
                  <c:v>7.3233633629608068</c:v>
                </c:pt>
                <c:pt idx="42">
                  <c:v>7.746420906493455</c:v>
                </c:pt>
                <c:pt idx="43">
                  <c:v>8.1912429856838607</c:v>
                </c:pt>
                <c:pt idx="44">
                  <c:v>8.6589492945775302</c:v>
                </c:pt>
                <c:pt idx="45">
                  <c:v>9.1507171307808726</c:v>
                </c:pt>
                <c:pt idx="46">
                  <c:v>9.6677843589227521</c:v>
                </c:pt>
                <c:pt idx="47">
                  <c:v>10.211452526573668</c:v>
                </c:pt>
                <c:pt idx="48">
                  <c:v>10.783090140465921</c:v>
                </c:pt>
                <c:pt idx="49">
                  <c:v>11.384136111261549</c:v>
                </c:pt>
                <c:pt idx="50">
                  <c:v>12.016103375539148</c:v>
                </c:pt>
                <c:pt idx="51">
                  <c:v>12.680582704116688</c:v>
                </c:pt>
                <c:pt idx="52">
                  <c:v>13.379246706296559</c:v>
                </c:pt>
                <c:pt idx="53">
                  <c:v>14.113854040112276</c:v>
                </c:pt>
                <c:pt idx="54">
                  <c:v>14.886253839174621</c:v>
                </c:pt>
                <c:pt idx="55">
                  <c:v>15.698390367260549</c:v>
                </c:pt>
                <c:pt idx="56">
                  <c:v>16.552307912361083</c:v>
                </c:pt>
                <c:pt idx="57">
                  <c:v>17.450155932507485</c:v>
                </c:pt>
                <c:pt idx="58">
                  <c:v>18.394194466328578</c:v>
                </c:pt>
                <c:pt idx="59">
                  <c:v>19.386799821958551</c:v>
                </c:pt>
                <c:pt idx="60">
                  <c:v>20.430470558615159</c:v>
                </c:pt>
                <c:pt idx="61">
                  <c:v>21.52783377590514</c:v>
                </c:pt>
                <c:pt idx="62">
                  <c:v>22.681651726687832</c:v>
                </c:pt>
                <c:pt idx="63">
                  <c:v>23.894828770143068</c:v>
                </c:pt>
                <c:pt idx="64">
                  <c:v>25.170418682545115</c:v>
                </c:pt>
                <c:pt idx="65">
                  <c:v>26.511632344145255</c:v>
                </c:pt>
                <c:pt idx="66">
                  <c:v>27.92184582151236</c:v>
                </c:pt>
                <c:pt idx="67">
                  <c:v>29.404608865675772</c:v>
                </c:pt>
                <c:pt idx="68">
                  <c:v>30.963653847462183</c:v>
                </c:pt>
                <c:pt idx="69">
                  <c:v>32.602905152518019</c:v>
                </c:pt>
                <c:pt idx="70">
                  <c:v>34.326489059666251</c:v>
                </c:pt>
                <c:pt idx="71">
                  <c:v>36.138744127463262</c:v>
                </c:pt>
                <c:pt idx="72">
                  <c:v>38.044232115100613</c:v>
                </c:pt>
                <c:pt idx="73">
                  <c:v>40.047749465141145</c:v>
                </c:pt>
                <c:pt idx="74">
                  <c:v>42.154339376993896</c:v>
                </c:pt>
                <c:pt idx="75">
                  <c:v>44.369304501518563</c:v>
                </c:pt>
                <c:pt idx="76">
                  <c:v>46.698220288713969</c:v>
                </c:pt>
                <c:pt idx="77">
                  <c:v>49.14694902208943</c:v>
                </c:pt>
                <c:pt idx="78">
                  <c:v>51.721654575045257</c:v>
                </c:pt>
                <c:pt idx="79">
                  <c:v>54.42881792640744</c:v>
                </c:pt>
                <c:pt idx="80">
                  <c:v>57.275253474171336</c:v>
                </c:pt>
                <c:pt idx="81">
                  <c:v>60.268126188519034</c:v>
                </c:pt>
                <c:pt idx="82">
                  <c:v>63.414969647287528</c:v>
                </c:pt>
                <c:pt idx="83">
                  <c:v>66.72370499928607</c:v>
                </c:pt>
                <c:pt idx="84">
                  <c:v>70.202660903196673</c:v>
                </c:pt>
                <c:pt idx="85">
                  <c:v>73.860594492247102</c:v>
                </c:pt>
                <c:pt idx="86">
                  <c:v>77.706713417428915</c:v>
                </c:pt>
                <c:pt idx="87">
                  <c:v>81.750699024745984</c:v>
                </c:pt>
                <c:pt idx="88">
                  <c:v>86.002730724835615</c:v>
                </c:pt>
                <c:pt idx="89">
                  <c:v>90.473511616304265</c:v>
                </c:pt>
                <c:pt idx="90">
                  <c:v>95.174295427276121</c:v>
                </c:pt>
                <c:pt idx="91">
                  <c:v>100.11691484297211</c:v>
                </c:pt>
                <c:pt idx="92">
                  <c:v>105.31381129062308</c:v>
                </c:pt>
                <c:pt idx="93">
                  <c:v>110.77806625669237</c:v>
                </c:pt>
                <c:pt idx="94">
                  <c:v>116.5234342152379</c:v>
                </c:pt>
                <c:pt idx="95">
                  <c:v>122.56437725030034</c:v>
                </c:pt>
                <c:pt idx="96">
                  <c:v>128.91610145946791</c:v>
                </c:pt>
                <c:pt idx="97">
                  <c:v>135.59459523025203</c:v>
                </c:pt>
                <c:pt idx="98">
                  <c:v>142.6166694856212</c:v>
                </c:pt>
                <c:pt idx="99">
                  <c:v>150.00000000000003</c:v>
                </c:pt>
                <c:pt idx="100">
                  <c:v>150.00000000000003</c:v>
                </c:pt>
                <c:pt idx="101">
                  <c:v>150.00000000000003</c:v>
                </c:pt>
              </c:numCache>
            </c:numRef>
          </c:xVal>
          <c:yVal>
            <c:numRef>
              <c:f>Calculations!$AT$9:$AT$110</c:f>
              <c:numCache>
                <c:formatCode>0.00</c:formatCode>
                <c:ptCount val="102"/>
                <c:pt idx="0">
                  <c:v>4.2133720818204412E-6</c:v>
                </c:pt>
                <c:pt idx="1">
                  <c:v>7.8501022449700816E-4</c:v>
                </c:pt>
                <c:pt idx="2">
                  <c:v>3.6406482047821845E-3</c:v>
                </c:pt>
                <c:pt idx="3">
                  <c:v>1.2055052663544247E-2</c:v>
                </c:pt>
                <c:pt idx="4">
                  <c:v>3.1842825183304072E-2</c:v>
                </c:pt>
                <c:pt idx="5">
                  <c:v>7.1575019014876395E-2</c:v>
                </c:pt>
                <c:pt idx="6">
                  <c:v>0.14258352814026248</c:v>
                </c:pt>
                <c:pt idx="7">
                  <c:v>0.25864356228164642</c:v>
                </c:pt>
                <c:pt idx="8">
                  <c:v>0.43537103709422775</c:v>
                </c:pt>
                <c:pt idx="9">
                  <c:v>0.68938705745299045</c:v>
                </c:pt>
                <c:pt idx="10">
                  <c:v>1.0373080730781263</c:v>
                </c:pt>
                <c:pt idx="11">
                  <c:v>1.4946217757682378</c:v>
                </c:pt>
                <c:pt idx="12">
                  <c:v>2.0745075937645234</c:v>
                </c:pt>
                <c:pt idx="13">
                  <c:v>2.7866578626475142</c:v>
                </c:pt>
                <c:pt idx="14">
                  <c:v>3.6361519703272318</c:v>
                </c:pt>
                <c:pt idx="15">
                  <c:v>4.6224312382804635</c:v>
                </c:pt>
                <c:pt idx="16">
                  <c:v>5.7384171174390755</c:v>
                </c:pt>
                <c:pt idx="17">
                  <c:v>6.9698094903857193</c:v>
                </c:pt>
                <c:pt idx="18">
                  <c:v>8.2945955146289503</c:v>
                </c:pt>
                <c:pt idx="19">
                  <c:v>9.6827925602576137</c:v>
                </c:pt>
                <c:pt idx="20">
                  <c:v>11.096441460016289</c:v>
                </c:pt>
                <c:pt idx="21">
                  <c:v>12.489858602051834</c:v>
                </c:pt>
                <c:pt idx="22">
                  <c:v>13.810147487612104</c:v>
                </c:pt>
                <c:pt idx="23">
                  <c:v>14.997962408922675</c:v>
                </c:pt>
                <c:pt idx="24">
                  <c:v>15.988509061599359</c:v>
                </c:pt>
                <c:pt idx="25">
                  <c:v>16.712759394487726</c:v>
                </c:pt>
                <c:pt idx="26">
                  <c:v>17.098851031332003</c:v>
                </c:pt>
                <c:pt idx="27">
                  <c:v>17.098851031332003</c:v>
                </c:pt>
                <c:pt idx="28">
                  <c:v>17.098851031332003</c:v>
                </c:pt>
                <c:pt idx="29">
                  <c:v>17.098851031332003</c:v>
                </c:pt>
                <c:pt idx="30">
                  <c:v>17.098851031332003</c:v>
                </c:pt>
                <c:pt idx="31">
                  <c:v>17.098851031332003</c:v>
                </c:pt>
                <c:pt idx="32">
                  <c:v>17.098851031332003</c:v>
                </c:pt>
                <c:pt idx="33">
                  <c:v>17.098851031332003</c:v>
                </c:pt>
                <c:pt idx="34">
                  <c:v>17.098851031332003</c:v>
                </c:pt>
                <c:pt idx="35">
                  <c:v>17.098851031332003</c:v>
                </c:pt>
                <c:pt idx="36">
                  <c:v>17.098851031332003</c:v>
                </c:pt>
                <c:pt idx="37">
                  <c:v>17.098851031332003</c:v>
                </c:pt>
                <c:pt idx="38">
                  <c:v>17.098851031332003</c:v>
                </c:pt>
                <c:pt idx="39">
                  <c:v>17.098851031332003</c:v>
                </c:pt>
                <c:pt idx="40">
                  <c:v>17.098851031332003</c:v>
                </c:pt>
                <c:pt idx="41">
                  <c:v>17.098851031332003</c:v>
                </c:pt>
                <c:pt idx="42">
                  <c:v>17.098851031332003</c:v>
                </c:pt>
                <c:pt idx="43">
                  <c:v>17.098851031332003</c:v>
                </c:pt>
                <c:pt idx="44">
                  <c:v>17.098851031332003</c:v>
                </c:pt>
                <c:pt idx="45">
                  <c:v>17.098851031332003</c:v>
                </c:pt>
                <c:pt idx="46">
                  <c:v>17.098851031332003</c:v>
                </c:pt>
                <c:pt idx="47">
                  <c:v>17.098851031332003</c:v>
                </c:pt>
                <c:pt idx="48">
                  <c:v>17.098851031332003</c:v>
                </c:pt>
                <c:pt idx="49">
                  <c:v>17.098851031332003</c:v>
                </c:pt>
                <c:pt idx="50">
                  <c:v>17.098851031332003</c:v>
                </c:pt>
                <c:pt idx="51">
                  <c:v>17.098851031332003</c:v>
                </c:pt>
                <c:pt idx="52">
                  <c:v>17.098851031332003</c:v>
                </c:pt>
                <c:pt idx="53">
                  <c:v>17.098851031332003</c:v>
                </c:pt>
                <c:pt idx="54">
                  <c:v>17.098851031332003</c:v>
                </c:pt>
                <c:pt idx="55">
                  <c:v>17.098851031332003</c:v>
                </c:pt>
                <c:pt idx="56">
                  <c:v>17.098851031332003</c:v>
                </c:pt>
                <c:pt idx="57">
                  <c:v>17.098851031332003</c:v>
                </c:pt>
                <c:pt idx="58">
                  <c:v>17.098851031332003</c:v>
                </c:pt>
                <c:pt idx="59">
                  <c:v>17.098851031332003</c:v>
                </c:pt>
                <c:pt idx="60">
                  <c:v>17.098851031332003</c:v>
                </c:pt>
                <c:pt idx="61">
                  <c:v>17.098851031332003</c:v>
                </c:pt>
                <c:pt idx="62">
                  <c:v>17.098851031332003</c:v>
                </c:pt>
                <c:pt idx="63">
                  <c:v>17.098851031332003</c:v>
                </c:pt>
                <c:pt idx="64">
                  <c:v>17.098851031332003</c:v>
                </c:pt>
                <c:pt idx="65">
                  <c:v>17.098851031332003</c:v>
                </c:pt>
                <c:pt idx="66">
                  <c:v>17.098851031332003</c:v>
                </c:pt>
                <c:pt idx="67">
                  <c:v>17.098851031332003</c:v>
                </c:pt>
                <c:pt idx="68">
                  <c:v>17.098851031332003</c:v>
                </c:pt>
                <c:pt idx="69">
                  <c:v>17.098851031332003</c:v>
                </c:pt>
                <c:pt idx="70">
                  <c:v>17.098851031332003</c:v>
                </c:pt>
                <c:pt idx="71">
                  <c:v>17.098851031332003</c:v>
                </c:pt>
                <c:pt idx="72">
                  <c:v>17.098851031332003</c:v>
                </c:pt>
                <c:pt idx="73">
                  <c:v>17.098851031332003</c:v>
                </c:pt>
                <c:pt idx="74">
                  <c:v>17.098851031332003</c:v>
                </c:pt>
                <c:pt idx="75">
                  <c:v>17.098851031332003</c:v>
                </c:pt>
                <c:pt idx="76">
                  <c:v>17.098851031332003</c:v>
                </c:pt>
                <c:pt idx="77">
                  <c:v>17.098851031332003</c:v>
                </c:pt>
                <c:pt idx="78">
                  <c:v>17.098851031332003</c:v>
                </c:pt>
                <c:pt idx="79">
                  <c:v>17.098851031332003</c:v>
                </c:pt>
                <c:pt idx="80">
                  <c:v>17.098851031332003</c:v>
                </c:pt>
                <c:pt idx="81">
                  <c:v>17.098851031332003</c:v>
                </c:pt>
                <c:pt idx="82">
                  <c:v>17.098851031332003</c:v>
                </c:pt>
                <c:pt idx="83">
                  <c:v>17.098851031332003</c:v>
                </c:pt>
                <c:pt idx="84">
                  <c:v>17.098851031332003</c:v>
                </c:pt>
                <c:pt idx="85">
                  <c:v>17.098851031332003</c:v>
                </c:pt>
                <c:pt idx="86">
                  <c:v>17.098851031332003</c:v>
                </c:pt>
                <c:pt idx="87">
                  <c:v>17.098851031332003</c:v>
                </c:pt>
                <c:pt idx="88">
                  <c:v>17.098851031332003</c:v>
                </c:pt>
                <c:pt idx="89">
                  <c:v>17.098851031332003</c:v>
                </c:pt>
                <c:pt idx="90">
                  <c:v>17.098851031332003</c:v>
                </c:pt>
                <c:pt idx="91">
                  <c:v>17.098851031332003</c:v>
                </c:pt>
                <c:pt idx="92">
                  <c:v>17.098851031332003</c:v>
                </c:pt>
                <c:pt idx="93">
                  <c:v>17.098851031332003</c:v>
                </c:pt>
                <c:pt idx="94">
                  <c:v>17.098851031332003</c:v>
                </c:pt>
                <c:pt idx="95">
                  <c:v>17.098851031332003</c:v>
                </c:pt>
                <c:pt idx="96">
                  <c:v>17.098851031332003</c:v>
                </c:pt>
                <c:pt idx="97">
                  <c:v>17.098851031332003</c:v>
                </c:pt>
                <c:pt idx="98">
                  <c:v>17.098851031332003</c:v>
                </c:pt>
                <c:pt idx="99">
                  <c:v>17.098851031332003</c:v>
                </c:pt>
                <c:pt idx="100">
                  <c:v>17.098851031332003</c:v>
                </c:pt>
                <c:pt idx="101">
                  <c:v>17.098851031332003</c:v>
                </c:pt>
              </c:numCache>
            </c:numRef>
          </c:yVal>
          <c:smooth val="0"/>
          <c:extLst>
            <c:ext xmlns:c16="http://schemas.microsoft.com/office/drawing/2014/chart" uri="{C3380CC4-5D6E-409C-BE32-E72D297353CC}">
              <c16:uniqueId val="{00000002-61C2-4D7C-A1D9-6B4693B7D37C}"/>
            </c:ext>
          </c:extLst>
        </c:ser>
        <c:dLbls>
          <c:showLegendKey val="0"/>
          <c:showVal val="0"/>
          <c:showCatName val="0"/>
          <c:showSerName val="0"/>
          <c:showPercent val="0"/>
          <c:showBubbleSize val="0"/>
        </c:dLbls>
        <c:axId val="389489360"/>
        <c:axId val="389488968"/>
      </c:scatterChart>
      <c:valAx>
        <c:axId val="389489360"/>
        <c:scaling>
          <c:logBase val="10"/>
          <c:orientation val="minMax"/>
          <c:min val="0.1"/>
        </c:scaling>
        <c:delete val="0"/>
        <c:axPos val="b"/>
        <c:majorGridlines>
          <c:spPr>
            <a:ln w="3175">
              <a:solidFill>
                <a:srgbClr val="000000"/>
              </a:solidFill>
              <a:prstDash val="solid"/>
            </a:ln>
          </c:spPr>
        </c:majorGridlines>
        <c:minorGridlines>
          <c:spPr>
            <a:ln w="3175">
              <a:solidFill>
                <a:srgbClr val="969696"/>
              </a:solidFill>
              <a:prstDash val="solid"/>
            </a:ln>
          </c:spPr>
        </c:minorGridlines>
        <c:title>
          <c:tx>
            <c:rich>
              <a:bodyPr/>
              <a:lstStyle/>
              <a:p>
                <a:pPr>
                  <a:defRPr sz="1000" b="0" i="0" u="none" strike="noStrike" baseline="0">
                    <a:solidFill>
                      <a:srgbClr val="000000"/>
                    </a:solidFill>
                    <a:latin typeface="Verdana"/>
                    <a:ea typeface="Verdana"/>
                    <a:cs typeface="Verdana"/>
                  </a:defRPr>
                </a:pPr>
                <a:r>
                  <a:rPr lang="nl-NL" sz="1000"/>
                  <a:t>µm</a:t>
                </a:r>
              </a:p>
            </c:rich>
          </c:tx>
          <c:layout>
            <c:manualLayout>
              <c:xMode val="edge"/>
              <c:yMode val="edge"/>
              <c:x val="0.50193026433493559"/>
              <c:y val="0.9498593251383145"/>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Verdana"/>
                <a:ea typeface="Verdana"/>
                <a:cs typeface="Verdana"/>
              </a:defRPr>
            </a:pPr>
            <a:endParaRPr lang="en-US"/>
          </a:p>
        </c:txPr>
        <c:crossAx val="389488968"/>
        <c:crosses val="autoZero"/>
        <c:crossBetween val="midCat"/>
      </c:valAx>
      <c:valAx>
        <c:axId val="389488968"/>
        <c:scaling>
          <c:orientation val="minMax"/>
          <c:max val="100"/>
          <c:min val="0"/>
        </c:scaling>
        <c:delete val="0"/>
        <c:axPos val="l"/>
        <c:majorGridlines>
          <c:spPr>
            <a:ln w="3175">
              <a:solidFill>
                <a:srgbClr val="000000"/>
              </a:solidFill>
              <a:prstDash val="solid"/>
            </a:ln>
          </c:spPr>
        </c:majorGridlines>
        <c:title>
          <c:tx>
            <c:rich>
              <a:bodyPr rot="0" vert="horz"/>
              <a:lstStyle/>
              <a:p>
                <a:pPr algn="ctr">
                  <a:defRPr sz="1000" b="0" i="0" u="none" strike="noStrike" baseline="0">
                    <a:solidFill>
                      <a:srgbClr val="000000"/>
                    </a:solidFill>
                    <a:latin typeface="Verdana"/>
                    <a:ea typeface="Verdana"/>
                    <a:cs typeface="Verdana"/>
                  </a:defRPr>
                </a:pPr>
                <a:r>
                  <a:rPr lang="nl-NL" sz="1000"/>
                  <a:t>%</a:t>
                </a:r>
              </a:p>
            </c:rich>
          </c:tx>
          <c:layout>
            <c:manualLayout>
              <c:xMode val="edge"/>
              <c:yMode val="edge"/>
              <c:x val="1.0074021646170632E-2"/>
              <c:y val="0.42388413678506015"/>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Verdana"/>
                <a:ea typeface="Verdana"/>
                <a:cs typeface="Verdana"/>
              </a:defRPr>
            </a:pPr>
            <a:endParaRPr lang="en-US"/>
          </a:p>
        </c:txPr>
        <c:crossAx val="389489360"/>
        <c:crossesAt val="0.1"/>
        <c:crossBetween val="midCat"/>
      </c:valAx>
      <c:spPr>
        <a:gradFill rotWithShape="0">
          <a:gsLst>
            <a:gs pos="0">
              <a:srgbClr val="FFFFCC"/>
            </a:gs>
            <a:gs pos="50000">
              <a:srgbClr val="FFFFFF"/>
            </a:gs>
            <a:gs pos="100000">
              <a:srgbClr val="FFFFCC"/>
            </a:gs>
          </a:gsLst>
          <a:lin ang="0" scaled="1"/>
        </a:gradFill>
        <a:ln w="3175">
          <a:solidFill>
            <a:srgbClr val="000000"/>
          </a:solidFill>
          <a:prstDash val="solid"/>
        </a:ln>
      </c:spPr>
    </c:plotArea>
    <c:legend>
      <c:legendPos val="r"/>
      <c:layout>
        <c:manualLayout>
          <c:xMode val="edge"/>
          <c:yMode val="edge"/>
          <c:x val="8.5995622817703857E-2"/>
          <c:y val="5.808215409914029E-2"/>
          <c:w val="0.25717734721362084"/>
          <c:h val="0.17380917313393374"/>
        </c:manualLayout>
      </c:layout>
      <c:overlay val="0"/>
      <c:spPr>
        <a:solidFill>
          <a:srgbClr val="FFFFFF"/>
        </a:solidFill>
        <a:ln w="3175">
          <a:solidFill>
            <a:srgbClr val="000000"/>
          </a:solidFill>
          <a:prstDash val="solid"/>
        </a:ln>
      </c:spPr>
      <c:txPr>
        <a:bodyPr/>
        <a:lstStyle/>
        <a:p>
          <a:pPr>
            <a:defRPr sz="1010" b="0" i="0" u="none" strike="noStrike" baseline="0">
              <a:solidFill>
                <a:srgbClr val="000000"/>
              </a:solidFill>
              <a:latin typeface="Verdana"/>
              <a:ea typeface="Verdana"/>
              <a:cs typeface="Verdana"/>
            </a:defRPr>
          </a:pPr>
          <a:endParaRPr lang="en-US"/>
        </a:p>
      </c:txPr>
    </c:legend>
    <c:plotVisOnly val="0"/>
    <c:dispBlanksAs val="gap"/>
    <c:showDLblsOverMax val="0"/>
  </c:chart>
  <c:spPr>
    <a:solidFill>
      <a:srgbClr val="FFFFFF"/>
    </a:solidFill>
    <a:ln w="25400">
      <a:solidFill>
        <a:srgbClr val="000000"/>
      </a:solidFill>
      <a:prstDash val="solid"/>
    </a:ln>
  </c:spPr>
  <c:txPr>
    <a:bodyPr/>
    <a:lstStyle/>
    <a:p>
      <a:pPr>
        <a:defRPr sz="800" b="0" i="0" u="none" strike="noStrike" baseline="0">
          <a:solidFill>
            <a:srgbClr val="000000"/>
          </a:solidFill>
          <a:latin typeface="Verdana"/>
          <a:ea typeface="Verdana"/>
          <a:cs typeface="Verdana"/>
        </a:defRPr>
      </a:pPr>
      <a:endParaRPr lang="en-US"/>
    </a:p>
  </c:txPr>
  <c:printSettings>
    <c:headerFooter alignWithMargins="0"/>
    <c:pageMargins b="1" l="0.75000000000000078" r="0.75000000000000078"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0" i="0" u="none" strike="noStrike" baseline="0">
                <a:solidFill>
                  <a:srgbClr val="000000"/>
                </a:solidFill>
                <a:latin typeface="Verdana"/>
                <a:ea typeface="Verdana"/>
                <a:cs typeface="Verdana"/>
              </a:defRPr>
            </a:pPr>
            <a:r>
              <a:rPr lang="nl-NL" sz="1100" baseline="0"/>
              <a:t>Probability distribution</a:t>
            </a:r>
          </a:p>
        </c:rich>
      </c:tx>
      <c:layout>
        <c:manualLayout>
          <c:xMode val="edge"/>
          <c:yMode val="edge"/>
          <c:x val="0.35460148487025717"/>
          <c:y val="1.7769098123948227E-2"/>
        </c:manualLayout>
      </c:layout>
      <c:overlay val="0"/>
      <c:spPr>
        <a:noFill/>
        <a:ln w="25400">
          <a:noFill/>
        </a:ln>
      </c:spPr>
    </c:title>
    <c:autoTitleDeleted val="0"/>
    <c:plotArea>
      <c:layout>
        <c:manualLayout>
          <c:layoutTarget val="inner"/>
          <c:xMode val="edge"/>
          <c:yMode val="edge"/>
          <c:x val="9.8724234816348053E-2"/>
          <c:y val="8.8845186106371293E-2"/>
          <c:w val="0.8582964088115157"/>
          <c:h val="0.82033721838216167"/>
        </c:manualLayout>
      </c:layout>
      <c:scatterChart>
        <c:scatterStyle val="smoothMarker"/>
        <c:varyColors val="0"/>
        <c:ser>
          <c:idx val="0"/>
          <c:order val="0"/>
          <c:tx>
            <c:strRef>
              <c:f>Calculations!$V$4</c:f>
              <c:strCache>
                <c:ptCount val="1"/>
                <c:pt idx="0">
                  <c:v>EN 481 </c:v>
                </c:pt>
              </c:strCache>
            </c:strRef>
          </c:tx>
          <c:spPr>
            <a:ln w="25400">
              <a:solidFill>
                <a:srgbClr val="008000"/>
              </a:solidFill>
              <a:prstDash val="solid"/>
            </a:ln>
          </c:spPr>
          <c:marker>
            <c:symbol val="none"/>
          </c:marker>
          <c:xVal>
            <c:numRef>
              <c:f>Calculations!$H$9:$H$110</c:f>
              <c:numCache>
                <c:formatCode>0.00</c:formatCode>
                <c:ptCount val="102"/>
                <c:pt idx="0">
                  <c:v>9.9806206895259542E-2</c:v>
                </c:pt>
                <c:pt idx="1">
                  <c:v>0.14336606282724537</c:v>
                </c:pt>
                <c:pt idx="2">
                  <c:v>0.2322413335505161</c:v>
                </c:pt>
                <c:pt idx="3">
                  <c:v>0.29078095561837292</c:v>
                </c:pt>
                <c:pt idx="4">
                  <c:v>0.35225361079967116</c:v>
                </c:pt>
                <c:pt idx="5">
                  <c:v>0.41684036708594741</c:v>
                </c:pt>
                <c:pt idx="6">
                  <c:v>0.48471773415081176</c:v>
                </c:pt>
                <c:pt idx="7">
                  <c:v>0.5560646209900284</c:v>
                </c:pt>
                <c:pt idx="8">
                  <c:v>0.63106558531942747</c:v>
                </c:pt>
                <c:pt idx="9">
                  <c:v>0.70991263957082107</c:v>
                </c:pt>
                <c:pt idx="10">
                  <c:v>0.79280643267804418</c:v>
                </c:pt>
                <c:pt idx="11">
                  <c:v>0.8799571434061344</c:v>
                </c:pt>
                <c:pt idx="12">
                  <c:v>0.97158523699262689</c:v>
                </c:pt>
                <c:pt idx="13">
                  <c:v>1.0679221594896104</c:v>
                </c:pt>
                <c:pt idx="14">
                  <c:v>1.1692110089483541</c:v>
                </c:pt>
                <c:pt idx="15">
                  <c:v>1.2757072054564977</c:v>
                </c:pt>
                <c:pt idx="16">
                  <c:v>1.3876791732551272</c:v>
                </c:pt>
                <c:pt idx="17">
                  <c:v>1.5054090434608158</c:v>
                </c:pt>
                <c:pt idx="18">
                  <c:v>1.6291933833126382</c:v>
                </c:pt>
                <c:pt idx="19">
                  <c:v>1.7593439563854476</c:v>
                </c:pt>
                <c:pt idx="20">
                  <c:v>1.8961885173611761</c:v>
                </c:pt>
                <c:pt idx="21">
                  <c:v>2.040071644464625</c:v>
                </c:pt>
                <c:pt idx="22">
                  <c:v>2.1913556124030822</c:v>
                </c:pt>
                <c:pt idx="23">
                  <c:v>2.3504213085169572</c:v>
                </c:pt>
                <c:pt idx="24">
                  <c:v>2.5176691948029086</c:v>
                </c:pt>
                <c:pt idx="25">
                  <c:v>2.6935203184825758</c:v>
                </c:pt>
                <c:pt idx="26">
                  <c:v>2.8784173738412435</c:v>
                </c:pt>
                <c:pt idx="27">
                  <c:v>3.072825818140585</c:v>
                </c:pt>
                <c:pt idx="28">
                  <c:v>3.2772350445110385</c:v>
                </c:pt>
                <c:pt idx="29">
                  <c:v>3.4921596148481027</c:v>
                </c:pt>
                <c:pt idx="30">
                  <c:v>3.7181405558699994</c:v>
                </c:pt>
                <c:pt idx="31">
                  <c:v>3.9557467216401307</c:v>
                </c:pt>
                <c:pt idx="32">
                  <c:v>4.205576226015439</c:v>
                </c:pt>
                <c:pt idx="33">
                  <c:v>4.4682579486506331</c:v>
                </c:pt>
                <c:pt idx="34">
                  <c:v>4.744453118368015</c:v>
                </c:pt>
                <c:pt idx="35">
                  <c:v>5.0348569778933312</c:v>
                </c:pt>
                <c:pt idx="36">
                  <c:v>5.3402005341597096</c:v>
                </c:pt>
                <c:pt idx="37">
                  <c:v>5.661252398594784</c:v>
                </c:pt>
                <c:pt idx="38">
                  <c:v>5.9988207220307359</c:v>
                </c:pt>
                <c:pt idx="39">
                  <c:v>6.3537552291137018</c:v>
                </c:pt>
                <c:pt idx="40">
                  <c:v>6.7269493573383023</c:v>
                </c:pt>
                <c:pt idx="41">
                  <c:v>7.1193425060955358</c:v>
                </c:pt>
                <c:pt idx="42">
                  <c:v>7.5319224013984512</c:v>
                </c:pt>
                <c:pt idx="43">
                  <c:v>7.9657275822406408</c:v>
                </c:pt>
                <c:pt idx="44">
                  <c:v>8.4218500148483049</c:v>
                </c:pt>
                <c:pt idx="45">
                  <c:v>8.9014378414081818</c:v>
                </c:pt>
                <c:pt idx="46">
                  <c:v>9.4056982701918415</c:v>
                </c:pt>
                <c:pt idx="47">
                  <c:v>9.935900614352537</c:v>
                </c:pt>
                <c:pt idx="48">
                  <c:v>10.493379487044788</c:v>
                </c:pt>
                <c:pt idx="49">
                  <c:v>11.079538160910248</c:v>
                </c:pt>
                <c:pt idx="50">
                  <c:v>11.695852100387</c:v>
                </c:pt>
                <c:pt idx="51">
                  <c:v>12.3438726757343</c:v>
                </c:pt>
                <c:pt idx="52">
                  <c:v>13.025231068122144</c:v>
                </c:pt>
                <c:pt idx="53">
                  <c:v>13.741642375615898</c:v>
                </c:pt>
                <c:pt idx="54">
                  <c:v>14.494909930391827</c:v>
                </c:pt>
                <c:pt idx="55">
                  <c:v>15.286929838051009</c:v>
                </c:pt>
                <c:pt idx="56">
                  <c:v>16.119695750458188</c:v>
                </c:pt>
                <c:pt idx="57">
                  <c:v>16.995303884119824</c:v>
                </c:pt>
                <c:pt idx="58">
                  <c:v>17.91595829673367</c:v>
                </c:pt>
                <c:pt idx="59">
                  <c:v>18.883976435192082</c:v>
                </c:pt>
                <c:pt idx="60">
                  <c:v>19.901794969004424</c:v>
                </c:pt>
                <c:pt idx="61">
                  <c:v>20.971975923822509</c:v>
                </c:pt>
                <c:pt idx="62">
                  <c:v>22.097213130508276</c:v>
                </c:pt>
                <c:pt idx="63">
                  <c:v>23.280339005977247</c:v>
                </c:pt>
                <c:pt idx="64">
                  <c:v>24.524331682886398</c:v>
                </c:pt>
                <c:pt idx="65">
                  <c:v>25.832322506113169</c:v>
                </c:pt>
                <c:pt idx="66">
                  <c:v>27.207603914895632</c:v>
                </c:pt>
                <c:pt idx="67">
                  <c:v>28.653637730474543</c:v>
                </c:pt>
                <c:pt idx="68">
                  <c:v>30.174063870098809</c:v>
                </c:pt>
                <c:pt idx="69">
                  <c:v>31.772709509329058</c:v>
                </c:pt>
                <c:pt idx="70">
                  <c:v>33.453598715702412</c:v>
                </c:pt>
                <c:pt idx="71">
                  <c:v>35.220962578008084</c:v>
                </c:pt>
                <c:pt idx="72">
                  <c:v>37.079249856671069</c:v>
                </c:pt>
                <c:pt idx="73">
                  <c:v>39.033138182052774</c:v>
                </c:pt>
                <c:pt idx="74">
                  <c:v>41.087545828856527</c:v>
                </c:pt>
                <c:pt idx="75">
                  <c:v>43.247644096276467</c:v>
                </c:pt>
                <c:pt idx="76">
                  <c:v>45.518870325052468</c:v>
                </c:pt>
                <c:pt idx="77">
                  <c:v>47.906941584197668</c:v>
                </c:pt>
                <c:pt idx="78">
                  <c:v>50.417869061850162</c:v>
                </c:pt>
                <c:pt idx="79">
                  <c:v>53.057973196473277</c:v>
                </c:pt>
                <c:pt idx="80">
                  <c:v>55.833899586492315</c:v>
                </c:pt>
                <c:pt idx="81">
                  <c:v>58.752635718414972</c:v>
                </c:pt>
                <c:pt idx="82">
                  <c:v>61.82152855554309</c:v>
                </c:pt>
                <c:pt idx="83">
                  <c:v>65.048303031549509</c:v>
                </c:pt>
                <c:pt idx="84">
                  <c:v>68.441081495471764</c:v>
                </c:pt>
                <c:pt idx="85">
                  <c:v>72.00840415706864</c:v>
                </c:pt>
                <c:pt idx="86">
                  <c:v>75.75925058400442</c:v>
                </c:pt>
                <c:pt idx="87">
                  <c:v>79.703062304973088</c:v>
                </c:pt>
                <c:pt idx="88">
                  <c:v>83.849766575657867</c:v>
                </c:pt>
                <c:pt idx="89">
                  <c:v>88.209801367349783</c:v>
                </c:pt>
                <c:pt idx="90">
                  <c:v>92.794141641125378</c:v>
                </c:pt>
                <c:pt idx="91">
                  <c:v>97.614326973720779</c:v>
                </c:pt>
                <c:pt idx="92">
                  <c:v>102.6824906046408</c:v>
                </c:pt>
                <c:pt idx="93">
                  <c:v>108.01138997761967</c:v>
                </c:pt>
                <c:pt idx="94">
                  <c:v>113.61443885331195</c:v>
                </c:pt>
                <c:pt idx="95">
                  <c:v>119.5057410740462</c:v>
                </c:pt>
                <c:pt idx="96">
                  <c:v>125.70012606563375</c:v>
                </c:pt>
                <c:pt idx="97">
                  <c:v>132.2131861655964</c:v>
                </c:pt>
                <c:pt idx="98">
                  <c:v>139.0613158717745</c:v>
                </c:pt>
                <c:pt idx="99">
                  <c:v>146.26175311011141</c:v>
                </c:pt>
                <c:pt idx="100">
                  <c:v>150.00000000000003</c:v>
                </c:pt>
                <c:pt idx="101">
                  <c:v>150.00000000000003</c:v>
                </c:pt>
              </c:numCache>
            </c:numRef>
          </c:xVal>
          <c:yVal>
            <c:numRef>
              <c:f>Calculations!$W$9:$W$110</c:f>
              <c:numCache>
                <c:formatCode>0.00</c:formatCode>
                <c:ptCount val="102"/>
                <c:pt idx="0">
                  <c:v>99.375862404092345</c:v>
                </c:pt>
                <c:pt idx="1">
                  <c:v>99.105909007097637</c:v>
                </c:pt>
                <c:pt idx="2">
                  <c:v>98.559686966233173</c:v>
                </c:pt>
                <c:pt idx="3">
                  <c:v>98.20315384786683</c:v>
                </c:pt>
                <c:pt idx="4">
                  <c:v>97.830957084235521</c:v>
                </c:pt>
                <c:pt idx="5">
                  <c:v>97.439810830445566</c:v>
                </c:pt>
                <c:pt idx="6">
                  <c:v>97.020570357599425</c:v>
                </c:pt>
                <c:pt idx="7">
                  <c:v>96.551411708422933</c:v>
                </c:pt>
                <c:pt idx="8">
                  <c:v>95.989241543004297</c:v>
                </c:pt>
                <c:pt idx="9">
                  <c:v>95.262303912449084</c:v>
                </c:pt>
                <c:pt idx="10">
                  <c:v>94.267793603990228</c:v>
                </c:pt>
                <c:pt idx="11">
                  <c:v>92.877398415271998</c:v>
                </c:pt>
                <c:pt idx="12">
                  <c:v>90.951377010094902</c:v>
                </c:pt>
                <c:pt idx="13">
                  <c:v>88.359024825950158</c:v>
                </c:pt>
                <c:pt idx="14">
                  <c:v>85.001278518560881</c:v>
                </c:pt>
                <c:pt idx="15">
                  <c:v>80.830459696563835</c:v>
                </c:pt>
                <c:pt idx="16">
                  <c:v>75.862874495681027</c:v>
                </c:pt>
                <c:pt idx="17">
                  <c:v>70.181779247254639</c:v>
                </c:pt>
                <c:pt idx="18">
                  <c:v>63.930448205817207</c:v>
                </c:pt>
                <c:pt idx="19">
                  <c:v>57.297094127055693</c:v>
                </c:pt>
                <c:pt idx="20">
                  <c:v>50.494743072434609</c:v>
                </c:pt>
                <c:pt idx="21">
                  <c:v>43.739664582061643</c:v>
                </c:pt>
                <c:pt idx="22">
                  <c:v>37.231667754414282</c:v>
                </c:pt>
                <c:pt idx="23">
                  <c:v>31.138720357447301</c:v>
                </c:pt>
                <c:pt idx="24">
                  <c:v>25.587227449688701</c:v>
                </c:pt>
                <c:pt idx="25">
                  <c:v>20.658195404646897</c:v>
                </c:pt>
                <c:pt idx="26">
                  <c:v>16.388609674992541</c:v>
                </c:pt>
                <c:pt idx="27">
                  <c:v>12.776776734536563</c:v>
                </c:pt>
                <c:pt idx="28">
                  <c:v>9.7901387728505842</c:v>
                </c:pt>
                <c:pt idx="29">
                  <c:v>7.374113585630961</c:v>
                </c:pt>
                <c:pt idx="30">
                  <c:v>5.4607547614223559</c:v>
                </c:pt>
                <c:pt idx="31">
                  <c:v>3.9763729808833537</c:v>
                </c:pt>
                <c:pt idx="32">
                  <c:v>2.847624006522159</c:v>
                </c:pt>
                <c:pt idx="33">
                  <c:v>2.0058918869735076</c:v>
                </c:pt>
                <c:pt idx="34">
                  <c:v>1.3900424915107641</c:v>
                </c:pt>
                <c:pt idx="35">
                  <c:v>0.94778168526342288</c:v>
                </c:pt>
                <c:pt idx="36">
                  <c:v>0.63593056159161976</c:v>
                </c:pt>
                <c:pt idx="37">
                  <c:v>0.41994373050413675</c:v>
                </c:pt>
                <c:pt idx="38">
                  <c:v>0.27296618740957385</c:v>
                </c:pt>
                <c:pt idx="39">
                  <c:v>0.17466941232228797</c:v>
                </c:pt>
                <c:pt idx="40">
                  <c:v>0.11004410403231599</c:v>
                </c:pt>
                <c:pt idx="41">
                  <c:v>6.8266593864313288E-2</c:v>
                </c:pt>
                <c:pt idx="42">
                  <c:v>4.1705086391956463E-2</c:v>
                </c:pt>
                <c:pt idx="43">
                  <c:v>2.509315936132233E-2</c:v>
                </c:pt>
                <c:pt idx="44">
                  <c:v>1.4871404459366232E-2</c:v>
                </c:pt>
                <c:pt idx="45">
                  <c:v>8.6820547194550231E-3</c:v>
                </c:pt>
                <c:pt idx="46">
                  <c:v>4.9935504828215391E-3</c:v>
                </c:pt>
                <c:pt idx="47">
                  <c:v>2.8297906092972086E-3</c:v>
                </c:pt>
                <c:pt idx="48">
                  <c:v>1.5801478508720647E-3</c:v>
                </c:pt>
                <c:pt idx="49">
                  <c:v>8.6951977557608124E-4</c:v>
                </c:pt>
                <c:pt idx="50">
                  <c:v>4.7156148784949003E-4</c:v>
                </c:pt>
                <c:pt idx="51">
                  <c:v>2.5206473649343279E-4</c:v>
                </c:pt>
                <c:pt idx="52">
                  <c:v>1.3281200097592518E-4</c:v>
                </c:pt>
                <c:pt idx="53">
                  <c:v>6.8984123432572176E-5</c:v>
                </c:pt>
                <c:pt idx="54">
                  <c:v>3.5324906531613491E-5</c:v>
                </c:pt>
                <c:pt idx="55">
                  <c:v>1.7834640118229086E-5</c:v>
                </c:pt>
                <c:pt idx="56">
                  <c:v>8.8782665172601253E-6</c:v>
                </c:pt>
                <c:pt idx="57">
                  <c:v>4.358116082661395E-6</c:v>
                </c:pt>
                <c:pt idx="58">
                  <c:v>2.1095963041862746E-6</c:v>
                </c:pt>
                <c:pt idx="59">
                  <c:v>1.0070464954084645E-6</c:v>
                </c:pt>
                <c:pt idx="60">
                  <c:v>4.7409471875336015E-7</c:v>
                </c:pt>
                <c:pt idx="61">
                  <c:v>2.2011916614744772E-7</c:v>
                </c:pt>
                <c:pt idx="62">
                  <c:v>1.0079410114848922E-7</c:v>
                </c:pt>
                <c:pt idx="63">
                  <c:v>4.5519749883441774E-8</c:v>
                </c:pt>
                <c:pt idx="64">
                  <c:v>2.0274516798542623E-8</c:v>
                </c:pt>
                <c:pt idx="65">
                  <c:v>8.9059741575569877E-9</c:v>
                </c:pt>
                <c:pt idx="66">
                  <c:v>3.8581749215053609E-9</c:v>
                </c:pt>
                <c:pt idx="67">
                  <c:v>1.6483122521646954E-9</c:v>
                </c:pt>
                <c:pt idx="68">
                  <c:v>6.9443728941812306E-10</c:v>
                </c:pt>
                <c:pt idx="69">
                  <c:v>2.8850178212060613E-10</c:v>
                </c:pt>
                <c:pt idx="70">
                  <c:v>1.1818516293972142E-10</c:v>
                </c:pt>
                <c:pt idx="71">
                  <c:v>4.773384764505882E-11</c:v>
                </c:pt>
                <c:pt idx="72">
                  <c:v>1.9006442449731642E-11</c:v>
                </c:pt>
                <c:pt idx="73">
                  <c:v>7.4652326192919558E-12</c:v>
                </c:pt>
                <c:pt idx="74">
                  <c:v>2.8862219357985809E-12</c:v>
                </c:pt>
                <c:pt idx="75">
                  <c:v>1.1038760214378409E-12</c:v>
                </c:pt>
                <c:pt idx="76">
                  <c:v>4.1211786806895439E-13</c:v>
                </c:pt>
                <c:pt idx="77">
                  <c:v>1.5580532665424293E-13</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numCache>
            </c:numRef>
          </c:yVal>
          <c:smooth val="1"/>
          <c:extLst>
            <c:ext xmlns:c16="http://schemas.microsoft.com/office/drawing/2014/chart" uri="{C3380CC4-5D6E-409C-BE32-E72D297353CC}">
              <c16:uniqueId val="{00000000-9E5B-4DB9-89A6-724712F68DA7}"/>
            </c:ext>
          </c:extLst>
        </c:ser>
        <c:ser>
          <c:idx val="1"/>
          <c:order val="1"/>
          <c:tx>
            <c:strRef>
              <c:f>Calculations!$AR$7</c:f>
              <c:strCache>
                <c:ptCount val="1"/>
                <c:pt idx="0">
                  <c:v>Sedimentation</c:v>
                </c:pt>
              </c:strCache>
            </c:strRef>
          </c:tx>
          <c:marker>
            <c:symbol val="none"/>
          </c:marker>
          <c:xVal>
            <c:numRef>
              <c:f>Calculations!$H$9:$H$110</c:f>
              <c:numCache>
                <c:formatCode>0.00</c:formatCode>
                <c:ptCount val="102"/>
                <c:pt idx="0">
                  <c:v>9.9806206895259542E-2</c:v>
                </c:pt>
                <c:pt idx="1">
                  <c:v>0.14336606282724537</c:v>
                </c:pt>
                <c:pt idx="2">
                  <c:v>0.2322413335505161</c:v>
                </c:pt>
                <c:pt idx="3">
                  <c:v>0.29078095561837292</c:v>
                </c:pt>
                <c:pt idx="4">
                  <c:v>0.35225361079967116</c:v>
                </c:pt>
                <c:pt idx="5">
                  <c:v>0.41684036708594741</c:v>
                </c:pt>
                <c:pt idx="6">
                  <c:v>0.48471773415081176</c:v>
                </c:pt>
                <c:pt idx="7">
                  <c:v>0.5560646209900284</c:v>
                </c:pt>
                <c:pt idx="8">
                  <c:v>0.63106558531942747</c:v>
                </c:pt>
                <c:pt idx="9">
                  <c:v>0.70991263957082107</c:v>
                </c:pt>
                <c:pt idx="10">
                  <c:v>0.79280643267804418</c:v>
                </c:pt>
                <c:pt idx="11">
                  <c:v>0.8799571434061344</c:v>
                </c:pt>
                <c:pt idx="12">
                  <c:v>0.97158523699262689</c:v>
                </c:pt>
                <c:pt idx="13">
                  <c:v>1.0679221594896104</c:v>
                </c:pt>
                <c:pt idx="14">
                  <c:v>1.1692110089483541</c:v>
                </c:pt>
                <c:pt idx="15">
                  <c:v>1.2757072054564977</c:v>
                </c:pt>
                <c:pt idx="16">
                  <c:v>1.3876791732551272</c:v>
                </c:pt>
                <c:pt idx="17">
                  <c:v>1.5054090434608158</c:v>
                </c:pt>
                <c:pt idx="18">
                  <c:v>1.6291933833126382</c:v>
                </c:pt>
                <c:pt idx="19">
                  <c:v>1.7593439563854476</c:v>
                </c:pt>
                <c:pt idx="20">
                  <c:v>1.8961885173611761</c:v>
                </c:pt>
                <c:pt idx="21">
                  <c:v>2.040071644464625</c:v>
                </c:pt>
                <c:pt idx="22">
                  <c:v>2.1913556124030822</c:v>
                </c:pt>
                <c:pt idx="23">
                  <c:v>2.3504213085169572</c:v>
                </c:pt>
                <c:pt idx="24">
                  <c:v>2.5176691948029086</c:v>
                </c:pt>
                <c:pt idx="25">
                  <c:v>2.6935203184825758</c:v>
                </c:pt>
                <c:pt idx="26">
                  <c:v>2.8784173738412435</c:v>
                </c:pt>
                <c:pt idx="27">
                  <c:v>3.072825818140585</c:v>
                </c:pt>
                <c:pt idx="28">
                  <c:v>3.2772350445110385</c:v>
                </c:pt>
                <c:pt idx="29">
                  <c:v>3.4921596148481027</c:v>
                </c:pt>
                <c:pt idx="30">
                  <c:v>3.7181405558699994</c:v>
                </c:pt>
                <c:pt idx="31">
                  <c:v>3.9557467216401307</c:v>
                </c:pt>
                <c:pt idx="32">
                  <c:v>4.205576226015439</c:v>
                </c:pt>
                <c:pt idx="33">
                  <c:v>4.4682579486506331</c:v>
                </c:pt>
                <c:pt idx="34">
                  <c:v>4.744453118368015</c:v>
                </c:pt>
                <c:pt idx="35">
                  <c:v>5.0348569778933312</c:v>
                </c:pt>
                <c:pt idx="36">
                  <c:v>5.3402005341597096</c:v>
                </c:pt>
                <c:pt idx="37">
                  <c:v>5.661252398594784</c:v>
                </c:pt>
                <c:pt idx="38">
                  <c:v>5.9988207220307359</c:v>
                </c:pt>
                <c:pt idx="39">
                  <c:v>6.3537552291137018</c:v>
                </c:pt>
                <c:pt idx="40">
                  <c:v>6.7269493573383023</c:v>
                </c:pt>
                <c:pt idx="41">
                  <c:v>7.1193425060955358</c:v>
                </c:pt>
                <c:pt idx="42">
                  <c:v>7.5319224013984512</c:v>
                </c:pt>
                <c:pt idx="43">
                  <c:v>7.9657275822406408</c:v>
                </c:pt>
                <c:pt idx="44">
                  <c:v>8.4218500148483049</c:v>
                </c:pt>
                <c:pt idx="45">
                  <c:v>8.9014378414081818</c:v>
                </c:pt>
                <c:pt idx="46">
                  <c:v>9.4056982701918415</c:v>
                </c:pt>
                <c:pt idx="47">
                  <c:v>9.935900614352537</c:v>
                </c:pt>
                <c:pt idx="48">
                  <c:v>10.493379487044788</c:v>
                </c:pt>
                <c:pt idx="49">
                  <c:v>11.079538160910248</c:v>
                </c:pt>
                <c:pt idx="50">
                  <c:v>11.695852100387</c:v>
                </c:pt>
                <c:pt idx="51">
                  <c:v>12.3438726757343</c:v>
                </c:pt>
                <c:pt idx="52">
                  <c:v>13.025231068122144</c:v>
                </c:pt>
                <c:pt idx="53">
                  <c:v>13.741642375615898</c:v>
                </c:pt>
                <c:pt idx="54">
                  <c:v>14.494909930391827</c:v>
                </c:pt>
                <c:pt idx="55">
                  <c:v>15.286929838051009</c:v>
                </c:pt>
                <c:pt idx="56">
                  <c:v>16.119695750458188</c:v>
                </c:pt>
                <c:pt idx="57">
                  <c:v>16.995303884119824</c:v>
                </c:pt>
                <c:pt idx="58">
                  <c:v>17.91595829673367</c:v>
                </c:pt>
                <c:pt idx="59">
                  <c:v>18.883976435192082</c:v>
                </c:pt>
                <c:pt idx="60">
                  <c:v>19.901794969004424</c:v>
                </c:pt>
                <c:pt idx="61">
                  <c:v>20.971975923822509</c:v>
                </c:pt>
                <c:pt idx="62">
                  <c:v>22.097213130508276</c:v>
                </c:pt>
                <c:pt idx="63">
                  <c:v>23.280339005977247</c:v>
                </c:pt>
                <c:pt idx="64">
                  <c:v>24.524331682886398</c:v>
                </c:pt>
                <c:pt idx="65">
                  <c:v>25.832322506113169</c:v>
                </c:pt>
                <c:pt idx="66">
                  <c:v>27.207603914895632</c:v>
                </c:pt>
                <c:pt idx="67">
                  <c:v>28.653637730474543</c:v>
                </c:pt>
                <c:pt idx="68">
                  <c:v>30.174063870098809</c:v>
                </c:pt>
                <c:pt idx="69">
                  <c:v>31.772709509329058</c:v>
                </c:pt>
                <c:pt idx="70">
                  <c:v>33.453598715702412</c:v>
                </c:pt>
                <c:pt idx="71">
                  <c:v>35.220962578008084</c:v>
                </c:pt>
                <c:pt idx="72">
                  <c:v>37.079249856671069</c:v>
                </c:pt>
                <c:pt idx="73">
                  <c:v>39.033138182052774</c:v>
                </c:pt>
                <c:pt idx="74">
                  <c:v>41.087545828856527</c:v>
                </c:pt>
                <c:pt idx="75">
                  <c:v>43.247644096276467</c:v>
                </c:pt>
                <c:pt idx="76">
                  <c:v>45.518870325052468</c:v>
                </c:pt>
                <c:pt idx="77">
                  <c:v>47.906941584197668</c:v>
                </c:pt>
                <c:pt idx="78">
                  <c:v>50.417869061850162</c:v>
                </c:pt>
                <c:pt idx="79">
                  <c:v>53.057973196473277</c:v>
                </c:pt>
                <c:pt idx="80">
                  <c:v>55.833899586492315</c:v>
                </c:pt>
                <c:pt idx="81">
                  <c:v>58.752635718414972</c:v>
                </c:pt>
                <c:pt idx="82">
                  <c:v>61.82152855554309</c:v>
                </c:pt>
                <c:pt idx="83">
                  <c:v>65.048303031549509</c:v>
                </c:pt>
                <c:pt idx="84">
                  <c:v>68.441081495471764</c:v>
                </c:pt>
                <c:pt idx="85">
                  <c:v>72.00840415706864</c:v>
                </c:pt>
                <c:pt idx="86">
                  <c:v>75.75925058400442</c:v>
                </c:pt>
                <c:pt idx="87">
                  <c:v>79.703062304973088</c:v>
                </c:pt>
                <c:pt idx="88">
                  <c:v>83.849766575657867</c:v>
                </c:pt>
                <c:pt idx="89">
                  <c:v>88.209801367349783</c:v>
                </c:pt>
                <c:pt idx="90">
                  <c:v>92.794141641125378</c:v>
                </c:pt>
                <c:pt idx="91">
                  <c:v>97.614326973720779</c:v>
                </c:pt>
                <c:pt idx="92">
                  <c:v>102.6824906046408</c:v>
                </c:pt>
                <c:pt idx="93">
                  <c:v>108.01138997761967</c:v>
                </c:pt>
                <c:pt idx="94">
                  <c:v>113.61443885331195</c:v>
                </c:pt>
                <c:pt idx="95">
                  <c:v>119.5057410740462</c:v>
                </c:pt>
                <c:pt idx="96">
                  <c:v>125.70012606563375</c:v>
                </c:pt>
                <c:pt idx="97">
                  <c:v>132.2131861655964</c:v>
                </c:pt>
                <c:pt idx="98">
                  <c:v>139.0613158717745</c:v>
                </c:pt>
                <c:pt idx="99">
                  <c:v>146.26175311011141</c:v>
                </c:pt>
                <c:pt idx="100">
                  <c:v>150.00000000000003</c:v>
                </c:pt>
                <c:pt idx="101">
                  <c:v>150.00000000000003</c:v>
                </c:pt>
              </c:numCache>
            </c:numRef>
          </c:xVal>
          <c:yVal>
            <c:numRef>
              <c:f>Calculations!$AR$9:$AR$110</c:f>
              <c:numCache>
                <c:formatCode>0.00</c:formatCode>
                <c:ptCount val="102"/>
                <c:pt idx="0">
                  <c:v>99.893725963718992</c:v>
                </c:pt>
                <c:pt idx="1">
                  <c:v>99.78071708725831</c:v>
                </c:pt>
                <c:pt idx="2">
                  <c:v>99.424571845493986</c:v>
                </c:pt>
                <c:pt idx="3">
                  <c:v>99.097922204267192</c:v>
                </c:pt>
                <c:pt idx="4">
                  <c:v>98.676198157653275</c:v>
                </c:pt>
                <c:pt idx="5">
                  <c:v>98.146248081977802</c:v>
                </c:pt>
                <c:pt idx="6">
                  <c:v>97.49337196461434</c:v>
                </c:pt>
                <c:pt idx="7">
                  <c:v>96.70114973832591</c:v>
                </c:pt>
                <c:pt idx="8">
                  <c:v>95.751251073810849</c:v>
                </c:pt>
                <c:pt idx="9">
                  <c:v>94.623224651745033</c:v>
                </c:pt>
                <c:pt idx="10">
                  <c:v>93.294264725659787</c:v>
                </c:pt>
                <c:pt idx="11">
                  <c:v>91.738952554825971</c:v>
                </c:pt>
                <c:pt idx="12">
                  <c:v>89.928970029582203</c:v>
                </c:pt>
                <c:pt idx="13">
                  <c:v>87.832782527654544</c:v>
                </c:pt>
                <c:pt idx="14">
                  <c:v>85.415287726094249</c:v>
                </c:pt>
                <c:pt idx="15">
                  <c:v>82.637426746340083</c:v>
                </c:pt>
                <c:pt idx="16">
                  <c:v>79.455753626081204</c:v>
                </c:pt>
                <c:pt idx="17">
                  <c:v>75.821958687180128</c:v>
                </c:pt>
                <c:pt idx="18">
                  <c:v>71.682340899624293</c:v>
                </c:pt>
                <c:pt idx="19">
                  <c:v>66.977223822569215</c:v>
                </c:pt>
                <c:pt idx="20">
                  <c:v>61.640309129775197</c:v>
                </c:pt>
                <c:pt idx="21">
                  <c:v>55.597961092330259</c:v>
                </c:pt>
                <c:pt idx="22">
                  <c:v>48.768414690086615</c:v>
                </c:pt>
                <c:pt idx="23">
                  <c:v>41.060899247636264</c:v>
                </c:pt>
                <c:pt idx="24">
                  <c:v>32.374668633083829</c:v>
                </c:pt>
                <c:pt idx="25">
                  <c:v>22.597928109682115</c:v>
                </c:pt>
                <c:pt idx="26">
                  <c:v>11.60664688201274</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numCache>
            </c:numRef>
          </c:yVal>
          <c:smooth val="1"/>
          <c:extLst>
            <c:ext xmlns:c16="http://schemas.microsoft.com/office/drawing/2014/chart" uri="{C3380CC4-5D6E-409C-BE32-E72D297353CC}">
              <c16:uniqueId val="{00000001-9E5B-4DB9-89A6-724712F68DA7}"/>
            </c:ext>
          </c:extLst>
        </c:ser>
        <c:dLbls>
          <c:showLegendKey val="0"/>
          <c:showVal val="0"/>
          <c:showCatName val="0"/>
          <c:showSerName val="0"/>
          <c:showPercent val="0"/>
          <c:showBubbleSize val="0"/>
        </c:dLbls>
        <c:axId val="225506616"/>
        <c:axId val="225506224"/>
      </c:scatterChart>
      <c:valAx>
        <c:axId val="225506616"/>
        <c:scaling>
          <c:logBase val="10"/>
          <c:orientation val="minMax"/>
          <c:max val="10"/>
          <c:min val="0.1"/>
        </c:scaling>
        <c:delete val="0"/>
        <c:axPos val="b"/>
        <c:majorGridlines>
          <c:spPr>
            <a:ln w="3175">
              <a:solidFill>
                <a:srgbClr val="000000"/>
              </a:solidFill>
              <a:prstDash val="solid"/>
            </a:ln>
          </c:spPr>
        </c:majorGridlines>
        <c:minorGridlines>
          <c:spPr>
            <a:ln w="3175">
              <a:solidFill>
                <a:srgbClr val="969696"/>
              </a:solidFill>
              <a:prstDash val="solid"/>
            </a:ln>
          </c:spPr>
        </c:minorGridlines>
        <c:title>
          <c:tx>
            <c:rich>
              <a:bodyPr/>
              <a:lstStyle/>
              <a:p>
                <a:pPr>
                  <a:defRPr sz="975" b="0" i="0" u="none" strike="noStrike" baseline="0">
                    <a:solidFill>
                      <a:srgbClr val="000000"/>
                    </a:solidFill>
                    <a:latin typeface="Verdana"/>
                    <a:ea typeface="Verdana"/>
                    <a:cs typeface="Verdana"/>
                  </a:defRPr>
                </a:pPr>
                <a:r>
                  <a:rPr lang="nl-NL" sz="1000"/>
                  <a:t>µm</a:t>
                </a:r>
              </a:p>
            </c:rich>
          </c:tx>
          <c:layout>
            <c:manualLayout>
              <c:xMode val="edge"/>
              <c:yMode val="edge"/>
              <c:x val="0.59637472690215398"/>
              <c:y val="0.9151055062708191"/>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Verdana"/>
                <a:ea typeface="Verdana"/>
                <a:cs typeface="Verdana"/>
              </a:defRPr>
            </a:pPr>
            <a:endParaRPr lang="en-US"/>
          </a:p>
        </c:txPr>
        <c:crossAx val="225506224"/>
        <c:crosses val="autoZero"/>
        <c:crossBetween val="midCat"/>
      </c:valAx>
      <c:valAx>
        <c:axId val="225506224"/>
        <c:scaling>
          <c:orientation val="minMax"/>
          <c:max val="100"/>
          <c:min val="0"/>
        </c:scaling>
        <c:delete val="0"/>
        <c:axPos val="l"/>
        <c:majorGridlines>
          <c:spPr>
            <a:ln w="3175">
              <a:solidFill>
                <a:srgbClr val="000000"/>
              </a:solidFill>
              <a:prstDash val="solid"/>
            </a:ln>
          </c:spPr>
        </c:majorGridlines>
        <c:title>
          <c:tx>
            <c:rich>
              <a:bodyPr rot="0" vert="horz"/>
              <a:lstStyle/>
              <a:p>
                <a:pPr algn="ctr">
                  <a:defRPr sz="1000" b="0" i="0" u="none" strike="noStrike" baseline="0">
                    <a:solidFill>
                      <a:srgbClr val="000000"/>
                    </a:solidFill>
                    <a:latin typeface="Verdana"/>
                    <a:ea typeface="Verdana"/>
                    <a:cs typeface="Verdana"/>
                  </a:defRPr>
                </a:pPr>
                <a:r>
                  <a:rPr lang="nl-NL" sz="1000"/>
                  <a:t>%</a:t>
                </a:r>
              </a:p>
            </c:rich>
          </c:tx>
          <c:layout>
            <c:manualLayout>
              <c:xMode val="edge"/>
              <c:yMode val="edge"/>
              <c:x val="1.410323709536308E-2"/>
              <c:y val="0.43238000263159715"/>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Verdana"/>
                <a:ea typeface="Verdana"/>
                <a:cs typeface="Verdana"/>
              </a:defRPr>
            </a:pPr>
            <a:endParaRPr lang="en-US"/>
          </a:p>
        </c:txPr>
        <c:crossAx val="225506616"/>
        <c:crossesAt val="0.1"/>
        <c:crossBetween val="midCat"/>
      </c:valAx>
      <c:spPr>
        <a:gradFill rotWithShape="0">
          <a:gsLst>
            <a:gs pos="0">
              <a:srgbClr val="FFFFCC"/>
            </a:gs>
            <a:gs pos="50000">
              <a:srgbClr val="FFFFFF"/>
            </a:gs>
            <a:gs pos="100000">
              <a:srgbClr val="FFFFCC"/>
            </a:gs>
          </a:gsLst>
          <a:lin ang="0" scaled="1"/>
        </a:gradFill>
        <a:ln w="3175">
          <a:solidFill>
            <a:srgbClr val="000000"/>
          </a:solidFill>
          <a:prstDash val="solid"/>
        </a:ln>
      </c:spPr>
    </c:plotArea>
    <c:legend>
      <c:legendPos val="r"/>
      <c:layout>
        <c:manualLayout>
          <c:xMode val="edge"/>
          <c:yMode val="edge"/>
          <c:x val="0.71653523756457815"/>
          <c:y val="0.14406831072237342"/>
          <c:w val="0.2574956622042357"/>
          <c:h val="0.12783357225465547"/>
        </c:manualLayout>
      </c:layout>
      <c:overlay val="0"/>
      <c:spPr>
        <a:solidFill>
          <a:srgbClr val="FFFFFF"/>
        </a:solidFill>
        <a:ln w="3175">
          <a:solidFill>
            <a:srgbClr val="000000"/>
          </a:solidFill>
          <a:prstDash val="solid"/>
        </a:ln>
      </c:spPr>
      <c:txPr>
        <a:bodyPr/>
        <a:lstStyle/>
        <a:p>
          <a:pPr>
            <a:defRPr sz="1010" b="0" i="0" u="none" strike="noStrike" baseline="0">
              <a:solidFill>
                <a:srgbClr val="000000"/>
              </a:solidFill>
              <a:latin typeface="Verdana"/>
              <a:ea typeface="Verdana"/>
              <a:cs typeface="Verdana"/>
            </a:defRPr>
          </a:pPr>
          <a:endParaRPr lang="en-US"/>
        </a:p>
      </c:txPr>
    </c:legend>
    <c:plotVisOnly val="0"/>
    <c:dispBlanksAs val="gap"/>
    <c:showDLblsOverMax val="0"/>
  </c:chart>
  <c:spPr>
    <a:solidFill>
      <a:srgbClr val="FFFFFF"/>
    </a:solidFill>
    <a:ln w="25400">
      <a:solidFill>
        <a:srgbClr val="000000"/>
      </a:solidFill>
      <a:prstDash val="solid"/>
    </a:ln>
  </c:spPr>
  <c:txPr>
    <a:bodyPr/>
    <a:lstStyle/>
    <a:p>
      <a:pPr>
        <a:defRPr sz="800" b="0" i="0" u="none" strike="noStrike" baseline="0">
          <a:solidFill>
            <a:srgbClr val="000000"/>
          </a:solidFill>
          <a:latin typeface="Verdana"/>
          <a:ea typeface="Verdana"/>
          <a:cs typeface="Verdana"/>
        </a:defRPr>
      </a:pPr>
      <a:endParaRPr lang="en-US"/>
    </a:p>
  </c:txPr>
  <c:printSettings>
    <c:headerFooter alignWithMargins="0"/>
    <c:pageMargins b="1" l="0.75000000000000078" r="0.75000000000000078" t="1" header="0.5" footer="0.5"/>
    <c:pageSetup paperSize="9" orientation="landscape" horizontalDpi="1200" verticalDpi="1200"/>
  </c:printSettings>
</c:chartSpac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xdr:col>
      <xdr:colOff>571500</xdr:colOff>
      <xdr:row>5</xdr:row>
      <xdr:rowOff>237067</xdr:rowOff>
    </xdr:from>
    <xdr:to>
      <xdr:col>4</xdr:col>
      <xdr:colOff>253999</xdr:colOff>
      <xdr:row>7</xdr:row>
      <xdr:rowOff>95250</xdr:rowOff>
    </xdr:to>
    <xdr:sp macro="" textlink="">
      <xdr:nvSpPr>
        <xdr:cNvPr id="2" name="Tekstvak 1">
          <a:extLst>
            <a:ext uri="{FF2B5EF4-FFF2-40B4-BE49-F238E27FC236}">
              <a16:creationId xmlns:a16="http://schemas.microsoft.com/office/drawing/2014/main" id="{00000000-0008-0000-0000-000002000000}"/>
            </a:ext>
          </a:extLst>
        </xdr:cNvPr>
        <xdr:cNvSpPr txBox="1"/>
      </xdr:nvSpPr>
      <xdr:spPr>
        <a:xfrm>
          <a:off x="1629833" y="1369484"/>
          <a:ext cx="328083" cy="3873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4</a:t>
          </a:r>
        </a:p>
      </xdr:txBody>
    </xdr:sp>
    <xdr:clientData/>
  </xdr:twoCellAnchor>
  <xdr:twoCellAnchor>
    <xdr:from>
      <xdr:col>2</xdr:col>
      <xdr:colOff>582083</xdr:colOff>
      <xdr:row>9</xdr:row>
      <xdr:rowOff>42333</xdr:rowOff>
    </xdr:from>
    <xdr:to>
      <xdr:col>3</xdr:col>
      <xdr:colOff>190500</xdr:colOff>
      <xdr:row>11</xdr:row>
      <xdr:rowOff>42334</xdr:rowOff>
    </xdr:to>
    <xdr:sp macro="" textlink="">
      <xdr:nvSpPr>
        <xdr:cNvPr id="3" name="Tekstvak 2">
          <a:extLst>
            <a:ext uri="{FF2B5EF4-FFF2-40B4-BE49-F238E27FC236}">
              <a16:creationId xmlns:a16="http://schemas.microsoft.com/office/drawing/2014/main" id="{00000000-0008-0000-0000-000003000000}"/>
            </a:ext>
          </a:extLst>
        </xdr:cNvPr>
        <xdr:cNvSpPr txBox="1"/>
      </xdr:nvSpPr>
      <xdr:spPr>
        <a:xfrm>
          <a:off x="920750" y="2063750"/>
          <a:ext cx="328083" cy="3704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1</a:t>
          </a:r>
        </a:p>
      </xdr:txBody>
    </xdr:sp>
    <xdr:clientData/>
  </xdr:twoCellAnchor>
  <xdr:twoCellAnchor>
    <xdr:from>
      <xdr:col>12</xdr:col>
      <xdr:colOff>480484</xdr:colOff>
      <xdr:row>1</xdr:row>
      <xdr:rowOff>154518</xdr:rowOff>
    </xdr:from>
    <xdr:to>
      <xdr:col>13</xdr:col>
      <xdr:colOff>211667</xdr:colOff>
      <xdr:row>2</xdr:row>
      <xdr:rowOff>232834</xdr:rowOff>
    </xdr:to>
    <xdr:sp macro="" textlink="">
      <xdr:nvSpPr>
        <xdr:cNvPr id="4" name="Tekstvak 3">
          <a:extLst>
            <a:ext uri="{FF2B5EF4-FFF2-40B4-BE49-F238E27FC236}">
              <a16:creationId xmlns:a16="http://schemas.microsoft.com/office/drawing/2014/main" id="{00000000-0008-0000-0000-000004000000}"/>
            </a:ext>
          </a:extLst>
        </xdr:cNvPr>
        <xdr:cNvSpPr txBox="1"/>
      </xdr:nvSpPr>
      <xdr:spPr>
        <a:xfrm>
          <a:off x="11730567" y="207435"/>
          <a:ext cx="260350" cy="35348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6</a:t>
          </a:r>
        </a:p>
      </xdr:txBody>
    </xdr:sp>
    <xdr:clientData/>
  </xdr:twoCellAnchor>
  <xdr:twoCellAnchor>
    <xdr:from>
      <xdr:col>9</xdr:col>
      <xdr:colOff>681566</xdr:colOff>
      <xdr:row>1</xdr:row>
      <xdr:rowOff>21167</xdr:rowOff>
    </xdr:from>
    <xdr:to>
      <xdr:col>10</xdr:col>
      <xdr:colOff>254000</xdr:colOff>
      <xdr:row>2</xdr:row>
      <xdr:rowOff>95250</xdr:rowOff>
    </xdr:to>
    <xdr:sp macro="" textlink="">
      <xdr:nvSpPr>
        <xdr:cNvPr id="5" name="Tekstvak 4">
          <a:extLst>
            <a:ext uri="{FF2B5EF4-FFF2-40B4-BE49-F238E27FC236}">
              <a16:creationId xmlns:a16="http://schemas.microsoft.com/office/drawing/2014/main" id="{00000000-0008-0000-0000-000005000000}"/>
            </a:ext>
          </a:extLst>
        </xdr:cNvPr>
        <xdr:cNvSpPr txBox="1"/>
      </xdr:nvSpPr>
      <xdr:spPr>
        <a:xfrm>
          <a:off x="8756649" y="74084"/>
          <a:ext cx="292101" cy="3492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5</a:t>
          </a:r>
        </a:p>
      </xdr:txBody>
    </xdr:sp>
    <xdr:clientData/>
  </xdr:twoCellAnchor>
  <xdr:twoCellAnchor>
    <xdr:from>
      <xdr:col>12</xdr:col>
      <xdr:colOff>527051</xdr:colOff>
      <xdr:row>0</xdr:row>
      <xdr:rowOff>12700</xdr:rowOff>
    </xdr:from>
    <xdr:to>
      <xdr:col>13</xdr:col>
      <xdr:colOff>275167</xdr:colOff>
      <xdr:row>1</xdr:row>
      <xdr:rowOff>254000</xdr:rowOff>
    </xdr:to>
    <xdr:sp macro="" textlink="">
      <xdr:nvSpPr>
        <xdr:cNvPr id="6" name="Tekstvak 5">
          <a:extLst>
            <a:ext uri="{FF2B5EF4-FFF2-40B4-BE49-F238E27FC236}">
              <a16:creationId xmlns:a16="http://schemas.microsoft.com/office/drawing/2014/main" id="{00000000-0008-0000-0000-000006000000}"/>
            </a:ext>
          </a:extLst>
        </xdr:cNvPr>
        <xdr:cNvSpPr txBox="1"/>
      </xdr:nvSpPr>
      <xdr:spPr>
        <a:xfrm>
          <a:off x="11777134" y="12700"/>
          <a:ext cx="277283" cy="2942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7</a:t>
          </a:r>
        </a:p>
      </xdr:txBody>
    </xdr:sp>
    <xdr:clientData/>
  </xdr:twoCellAnchor>
  <xdr:twoCellAnchor>
    <xdr:from>
      <xdr:col>9</xdr:col>
      <xdr:colOff>192616</xdr:colOff>
      <xdr:row>4</xdr:row>
      <xdr:rowOff>14818</xdr:rowOff>
    </xdr:from>
    <xdr:to>
      <xdr:col>9</xdr:col>
      <xdr:colOff>518583</xdr:colOff>
      <xdr:row>5</xdr:row>
      <xdr:rowOff>74083</xdr:rowOff>
    </xdr:to>
    <xdr:sp macro="" textlink="">
      <xdr:nvSpPr>
        <xdr:cNvPr id="7" name="Tekstvak 6">
          <a:extLst>
            <a:ext uri="{FF2B5EF4-FFF2-40B4-BE49-F238E27FC236}">
              <a16:creationId xmlns:a16="http://schemas.microsoft.com/office/drawing/2014/main" id="{00000000-0008-0000-0000-000007000000}"/>
            </a:ext>
          </a:extLst>
        </xdr:cNvPr>
        <xdr:cNvSpPr txBox="1"/>
      </xdr:nvSpPr>
      <xdr:spPr>
        <a:xfrm>
          <a:off x="8267699" y="829735"/>
          <a:ext cx="325967" cy="3767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8</a:t>
          </a:r>
        </a:p>
      </xdr:txBody>
    </xdr:sp>
    <xdr:clientData/>
  </xdr:twoCellAnchor>
  <xdr:twoCellAnchor>
    <xdr:from>
      <xdr:col>12</xdr:col>
      <xdr:colOff>152400</xdr:colOff>
      <xdr:row>3</xdr:row>
      <xdr:rowOff>192619</xdr:rowOff>
    </xdr:from>
    <xdr:to>
      <xdr:col>12</xdr:col>
      <xdr:colOff>433917</xdr:colOff>
      <xdr:row>5</xdr:row>
      <xdr:rowOff>0</xdr:rowOff>
    </xdr:to>
    <xdr:sp macro="" textlink="">
      <xdr:nvSpPr>
        <xdr:cNvPr id="8" name="Tekstvak 7">
          <a:extLst>
            <a:ext uri="{FF2B5EF4-FFF2-40B4-BE49-F238E27FC236}">
              <a16:creationId xmlns:a16="http://schemas.microsoft.com/office/drawing/2014/main" id="{00000000-0008-0000-0000-000008000000}"/>
            </a:ext>
          </a:extLst>
        </xdr:cNvPr>
        <xdr:cNvSpPr txBox="1"/>
      </xdr:nvSpPr>
      <xdr:spPr>
        <a:xfrm>
          <a:off x="11402483" y="764119"/>
          <a:ext cx="281517" cy="3682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9</a:t>
          </a:r>
        </a:p>
      </xdr:txBody>
    </xdr:sp>
    <xdr:clientData/>
  </xdr:twoCellAnchor>
  <xdr:twoCellAnchor>
    <xdr:from>
      <xdr:col>17</xdr:col>
      <xdr:colOff>192617</xdr:colOff>
      <xdr:row>5</xdr:row>
      <xdr:rowOff>88900</xdr:rowOff>
    </xdr:from>
    <xdr:to>
      <xdr:col>17</xdr:col>
      <xdr:colOff>635001</xdr:colOff>
      <xdr:row>6</xdr:row>
      <xdr:rowOff>201083</xdr:rowOff>
    </xdr:to>
    <xdr:sp macro="" textlink="">
      <xdr:nvSpPr>
        <xdr:cNvPr id="9" name="Tekstvak 8">
          <a:extLst>
            <a:ext uri="{FF2B5EF4-FFF2-40B4-BE49-F238E27FC236}">
              <a16:creationId xmlns:a16="http://schemas.microsoft.com/office/drawing/2014/main" id="{00000000-0008-0000-0000-000009000000}"/>
            </a:ext>
          </a:extLst>
        </xdr:cNvPr>
        <xdr:cNvSpPr txBox="1"/>
      </xdr:nvSpPr>
      <xdr:spPr>
        <a:xfrm>
          <a:off x="16850784" y="1221317"/>
          <a:ext cx="442384" cy="37676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10</a:t>
          </a:r>
        </a:p>
      </xdr:txBody>
    </xdr:sp>
    <xdr:clientData/>
  </xdr:twoCellAnchor>
  <xdr:twoCellAnchor>
    <xdr:from>
      <xdr:col>17</xdr:col>
      <xdr:colOff>294216</xdr:colOff>
      <xdr:row>8</xdr:row>
      <xdr:rowOff>141818</xdr:rowOff>
    </xdr:from>
    <xdr:to>
      <xdr:col>17</xdr:col>
      <xdr:colOff>793749</xdr:colOff>
      <xdr:row>10</xdr:row>
      <xdr:rowOff>175685</xdr:rowOff>
    </xdr:to>
    <xdr:sp macro="" textlink="">
      <xdr:nvSpPr>
        <xdr:cNvPr id="10" name="Tekstvak 9">
          <a:extLst>
            <a:ext uri="{FF2B5EF4-FFF2-40B4-BE49-F238E27FC236}">
              <a16:creationId xmlns:a16="http://schemas.microsoft.com/office/drawing/2014/main" id="{00000000-0008-0000-0000-00000A000000}"/>
            </a:ext>
          </a:extLst>
        </xdr:cNvPr>
        <xdr:cNvSpPr txBox="1"/>
      </xdr:nvSpPr>
      <xdr:spPr>
        <a:xfrm>
          <a:off x="16952383" y="1983318"/>
          <a:ext cx="499533" cy="393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12</a:t>
          </a:r>
        </a:p>
      </xdr:txBody>
    </xdr:sp>
    <xdr:clientData/>
  </xdr:twoCellAnchor>
  <xdr:twoCellAnchor>
    <xdr:from>
      <xdr:col>16</xdr:col>
      <xdr:colOff>1121833</xdr:colOff>
      <xdr:row>7</xdr:row>
      <xdr:rowOff>61384</xdr:rowOff>
    </xdr:from>
    <xdr:to>
      <xdr:col>17</xdr:col>
      <xdr:colOff>465666</xdr:colOff>
      <xdr:row>9</xdr:row>
      <xdr:rowOff>95250</xdr:rowOff>
    </xdr:to>
    <xdr:sp macro="" textlink="">
      <xdr:nvSpPr>
        <xdr:cNvPr id="11" name="Tekstvak 10">
          <a:extLst>
            <a:ext uri="{FF2B5EF4-FFF2-40B4-BE49-F238E27FC236}">
              <a16:creationId xmlns:a16="http://schemas.microsoft.com/office/drawing/2014/main" id="{00000000-0008-0000-0000-00000B000000}"/>
            </a:ext>
          </a:extLst>
        </xdr:cNvPr>
        <xdr:cNvSpPr txBox="1"/>
      </xdr:nvSpPr>
      <xdr:spPr>
        <a:xfrm>
          <a:off x="16626416" y="1722967"/>
          <a:ext cx="497417" cy="393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11</a:t>
          </a:r>
        </a:p>
      </xdr:txBody>
    </xdr:sp>
    <xdr:clientData/>
  </xdr:twoCellAnchor>
  <xdr:twoCellAnchor>
    <xdr:from>
      <xdr:col>16</xdr:col>
      <xdr:colOff>969435</xdr:colOff>
      <xdr:row>11</xdr:row>
      <xdr:rowOff>122766</xdr:rowOff>
    </xdr:from>
    <xdr:to>
      <xdr:col>17</xdr:col>
      <xdr:colOff>317500</xdr:colOff>
      <xdr:row>13</xdr:row>
      <xdr:rowOff>106836</xdr:rowOff>
    </xdr:to>
    <xdr:sp macro="" textlink="">
      <xdr:nvSpPr>
        <xdr:cNvPr id="12" name="Tekstvak 11">
          <a:extLst>
            <a:ext uri="{FF2B5EF4-FFF2-40B4-BE49-F238E27FC236}">
              <a16:creationId xmlns:a16="http://schemas.microsoft.com/office/drawing/2014/main" id="{00000000-0008-0000-0000-00000C000000}"/>
            </a:ext>
          </a:extLst>
        </xdr:cNvPr>
        <xdr:cNvSpPr txBox="1"/>
      </xdr:nvSpPr>
      <xdr:spPr>
        <a:xfrm>
          <a:off x="16474018" y="2514599"/>
          <a:ext cx="501649" cy="3544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13</a:t>
          </a:r>
        </a:p>
      </xdr:txBody>
    </xdr:sp>
    <xdr:clientData/>
  </xdr:twoCellAnchor>
  <xdr:twoCellAnchor>
    <xdr:from>
      <xdr:col>17</xdr:col>
      <xdr:colOff>218017</xdr:colOff>
      <xdr:row>13</xdr:row>
      <xdr:rowOff>134409</xdr:rowOff>
    </xdr:from>
    <xdr:to>
      <xdr:col>17</xdr:col>
      <xdr:colOff>740833</xdr:colOff>
      <xdr:row>15</xdr:row>
      <xdr:rowOff>158649</xdr:rowOff>
    </xdr:to>
    <xdr:sp macro="" textlink="">
      <xdr:nvSpPr>
        <xdr:cNvPr id="13" name="Tekstvak 12">
          <a:extLst>
            <a:ext uri="{FF2B5EF4-FFF2-40B4-BE49-F238E27FC236}">
              <a16:creationId xmlns:a16="http://schemas.microsoft.com/office/drawing/2014/main" id="{00000000-0008-0000-0000-00000D000000}"/>
            </a:ext>
          </a:extLst>
        </xdr:cNvPr>
        <xdr:cNvSpPr txBox="1"/>
      </xdr:nvSpPr>
      <xdr:spPr>
        <a:xfrm>
          <a:off x="16876184" y="2896659"/>
          <a:ext cx="522816" cy="4052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14</a:t>
          </a:r>
        </a:p>
      </xdr:txBody>
    </xdr:sp>
    <xdr:clientData/>
  </xdr:twoCellAnchor>
  <xdr:twoCellAnchor>
    <xdr:from>
      <xdr:col>16</xdr:col>
      <xdr:colOff>893233</xdr:colOff>
      <xdr:row>16</xdr:row>
      <xdr:rowOff>99483</xdr:rowOff>
    </xdr:from>
    <xdr:to>
      <xdr:col>17</xdr:col>
      <xdr:colOff>222250</xdr:colOff>
      <xdr:row>18</xdr:row>
      <xdr:rowOff>91016</xdr:rowOff>
    </xdr:to>
    <xdr:sp macro="" textlink="">
      <xdr:nvSpPr>
        <xdr:cNvPr id="14" name="Tekstvak 13">
          <a:extLst>
            <a:ext uri="{FF2B5EF4-FFF2-40B4-BE49-F238E27FC236}">
              <a16:creationId xmlns:a16="http://schemas.microsoft.com/office/drawing/2014/main" id="{00000000-0008-0000-0000-00000E000000}"/>
            </a:ext>
          </a:extLst>
        </xdr:cNvPr>
        <xdr:cNvSpPr txBox="1"/>
      </xdr:nvSpPr>
      <xdr:spPr>
        <a:xfrm>
          <a:off x="16397816" y="3433233"/>
          <a:ext cx="482601" cy="3831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15</a:t>
          </a:r>
        </a:p>
      </xdr:txBody>
    </xdr:sp>
    <xdr:clientData/>
  </xdr:twoCellAnchor>
  <xdr:twoCellAnchor>
    <xdr:from>
      <xdr:col>17</xdr:col>
      <xdr:colOff>173566</xdr:colOff>
      <xdr:row>31</xdr:row>
      <xdr:rowOff>112183</xdr:rowOff>
    </xdr:from>
    <xdr:to>
      <xdr:col>17</xdr:col>
      <xdr:colOff>687915</xdr:colOff>
      <xdr:row>33</xdr:row>
      <xdr:rowOff>61383</xdr:rowOff>
    </xdr:to>
    <xdr:sp macro="" textlink="">
      <xdr:nvSpPr>
        <xdr:cNvPr id="15" name="Tekstvak 14">
          <a:extLst>
            <a:ext uri="{FF2B5EF4-FFF2-40B4-BE49-F238E27FC236}">
              <a16:creationId xmlns:a16="http://schemas.microsoft.com/office/drawing/2014/main" id="{00000000-0008-0000-0000-00000F000000}"/>
            </a:ext>
          </a:extLst>
        </xdr:cNvPr>
        <xdr:cNvSpPr txBox="1"/>
      </xdr:nvSpPr>
      <xdr:spPr>
        <a:xfrm>
          <a:off x="16831733" y="6324600"/>
          <a:ext cx="514349" cy="330200"/>
        </a:xfrm>
        <a:prstGeom prst="rect">
          <a:avLst/>
        </a:prstGeom>
        <a:solidFill>
          <a:sysClr val="window" lastClr="FFFFFF"/>
        </a:solidFill>
        <a:ln w="9525" cmpd="sng">
          <a:solidFill>
            <a:sysClr val="window" lastClr="FFFFFF">
              <a:shade val="50000"/>
            </a:sysClr>
          </a:solid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nl-NL" sz="1800" b="0" i="0" u="none" strike="noStrike" kern="0" cap="none" spc="0" normalizeH="0" baseline="0" noProof="0">
              <a:ln>
                <a:noFill/>
              </a:ln>
              <a:solidFill>
                <a:sysClr val="windowText" lastClr="000000"/>
              </a:solidFill>
              <a:effectLst/>
              <a:uLnTx/>
              <a:uFillTx/>
              <a:latin typeface="Calibri"/>
              <a:ea typeface="+mn-ea"/>
              <a:cs typeface="+mn-cs"/>
            </a:rPr>
            <a:t>17</a:t>
          </a:r>
        </a:p>
      </xdr:txBody>
    </xdr:sp>
    <xdr:clientData/>
  </xdr:twoCellAnchor>
  <xdr:twoCellAnchor>
    <xdr:from>
      <xdr:col>16</xdr:col>
      <xdr:colOff>927101</xdr:colOff>
      <xdr:row>29</xdr:row>
      <xdr:rowOff>169334</xdr:rowOff>
    </xdr:from>
    <xdr:to>
      <xdr:col>17</xdr:col>
      <xdr:colOff>254000</xdr:colOff>
      <xdr:row>31</xdr:row>
      <xdr:rowOff>129117</xdr:rowOff>
    </xdr:to>
    <xdr:sp macro="" textlink="">
      <xdr:nvSpPr>
        <xdr:cNvPr id="16" name="Tekstvak 15">
          <a:extLst>
            <a:ext uri="{FF2B5EF4-FFF2-40B4-BE49-F238E27FC236}">
              <a16:creationId xmlns:a16="http://schemas.microsoft.com/office/drawing/2014/main" id="{00000000-0008-0000-0000-000010000000}"/>
            </a:ext>
          </a:extLst>
        </xdr:cNvPr>
        <xdr:cNvSpPr txBox="1"/>
      </xdr:nvSpPr>
      <xdr:spPr>
        <a:xfrm>
          <a:off x="16431684" y="5979584"/>
          <a:ext cx="480483" cy="361950"/>
        </a:xfrm>
        <a:prstGeom prst="rect">
          <a:avLst/>
        </a:prstGeom>
        <a:solidFill>
          <a:sysClr val="window" lastClr="FFFFFF"/>
        </a:solidFill>
        <a:ln w="9525" cmpd="sng">
          <a:solidFill>
            <a:sysClr val="window" lastClr="FFFFFF">
              <a:shade val="50000"/>
            </a:sysClr>
          </a:solid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nl-NL" sz="1800" b="0" i="0" u="none" strike="noStrike" kern="0" cap="none" spc="0" normalizeH="0" baseline="0" noProof="0">
              <a:ln>
                <a:noFill/>
              </a:ln>
              <a:solidFill>
                <a:sysClr val="windowText" lastClr="000000"/>
              </a:solidFill>
              <a:effectLst/>
              <a:uLnTx/>
              <a:uFillTx/>
              <a:latin typeface="Calibri"/>
              <a:ea typeface="+mn-ea"/>
              <a:cs typeface="+mn-cs"/>
            </a:rPr>
            <a:t>16</a:t>
          </a:r>
        </a:p>
      </xdr:txBody>
    </xdr:sp>
    <xdr:clientData/>
  </xdr:twoCellAnchor>
  <xdr:twoCellAnchor>
    <xdr:from>
      <xdr:col>2</xdr:col>
      <xdr:colOff>586317</xdr:colOff>
      <xdr:row>3</xdr:row>
      <xdr:rowOff>97366</xdr:rowOff>
    </xdr:from>
    <xdr:to>
      <xdr:col>3</xdr:col>
      <xdr:colOff>201084</xdr:colOff>
      <xdr:row>4</xdr:row>
      <xdr:rowOff>232833</xdr:rowOff>
    </xdr:to>
    <xdr:sp macro="" textlink="">
      <xdr:nvSpPr>
        <xdr:cNvPr id="17" name="Tekstvak 16">
          <a:extLst>
            <a:ext uri="{FF2B5EF4-FFF2-40B4-BE49-F238E27FC236}">
              <a16:creationId xmlns:a16="http://schemas.microsoft.com/office/drawing/2014/main" id="{00000000-0008-0000-0000-000011000000}"/>
            </a:ext>
          </a:extLst>
        </xdr:cNvPr>
        <xdr:cNvSpPr txBox="1"/>
      </xdr:nvSpPr>
      <xdr:spPr>
        <a:xfrm>
          <a:off x="924984" y="668866"/>
          <a:ext cx="334433" cy="37888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2</a:t>
          </a:r>
        </a:p>
      </xdr:txBody>
    </xdr:sp>
    <xdr:clientData/>
  </xdr:twoCellAnchor>
  <xdr:twoCellAnchor>
    <xdr:from>
      <xdr:col>16</xdr:col>
      <xdr:colOff>1016000</xdr:colOff>
      <xdr:row>32</xdr:row>
      <xdr:rowOff>137583</xdr:rowOff>
    </xdr:from>
    <xdr:to>
      <xdr:col>17</xdr:col>
      <xdr:colOff>391583</xdr:colOff>
      <xdr:row>34</xdr:row>
      <xdr:rowOff>97366</xdr:rowOff>
    </xdr:to>
    <xdr:sp macro="" textlink="">
      <xdr:nvSpPr>
        <xdr:cNvPr id="19" name="Tekstvak 18">
          <a:extLst>
            <a:ext uri="{FF2B5EF4-FFF2-40B4-BE49-F238E27FC236}">
              <a16:creationId xmlns:a16="http://schemas.microsoft.com/office/drawing/2014/main" id="{00000000-0008-0000-0000-000013000000}"/>
            </a:ext>
          </a:extLst>
        </xdr:cNvPr>
        <xdr:cNvSpPr txBox="1"/>
      </xdr:nvSpPr>
      <xdr:spPr>
        <a:xfrm>
          <a:off x="16520583" y="6540500"/>
          <a:ext cx="529167" cy="340783"/>
        </a:xfrm>
        <a:prstGeom prst="rect">
          <a:avLst/>
        </a:prstGeom>
        <a:solidFill>
          <a:sysClr val="window" lastClr="FFFFFF"/>
        </a:solidFill>
        <a:ln w="9525" cmpd="sng">
          <a:solidFill>
            <a:sysClr val="window" lastClr="FFFFFF">
              <a:shade val="50000"/>
            </a:sysClr>
          </a:solid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nl-NL" sz="1800" b="0" i="0" u="none" strike="noStrike" kern="0" cap="none" spc="0" normalizeH="0" baseline="0" noProof="0">
              <a:ln>
                <a:noFill/>
              </a:ln>
              <a:solidFill>
                <a:sysClr val="windowText" lastClr="000000"/>
              </a:solidFill>
              <a:effectLst/>
              <a:uLnTx/>
              <a:uFillTx/>
              <a:latin typeface="Calibri"/>
              <a:ea typeface="+mn-ea"/>
              <a:cs typeface="+mn-cs"/>
            </a:rPr>
            <a:t>18</a:t>
          </a:r>
        </a:p>
      </xdr:txBody>
    </xdr:sp>
    <xdr:clientData/>
  </xdr:twoCellAnchor>
  <xdr:twoCellAnchor>
    <xdr:from>
      <xdr:col>16</xdr:col>
      <xdr:colOff>698500</xdr:colOff>
      <xdr:row>34</xdr:row>
      <xdr:rowOff>137583</xdr:rowOff>
    </xdr:from>
    <xdr:to>
      <xdr:col>17</xdr:col>
      <xdr:colOff>95250</xdr:colOff>
      <xdr:row>36</xdr:row>
      <xdr:rowOff>107950</xdr:rowOff>
    </xdr:to>
    <xdr:sp macro="" textlink="">
      <xdr:nvSpPr>
        <xdr:cNvPr id="20" name="Tekstvak 19">
          <a:extLst>
            <a:ext uri="{FF2B5EF4-FFF2-40B4-BE49-F238E27FC236}">
              <a16:creationId xmlns:a16="http://schemas.microsoft.com/office/drawing/2014/main" id="{00000000-0008-0000-0000-000014000000}"/>
            </a:ext>
          </a:extLst>
        </xdr:cNvPr>
        <xdr:cNvSpPr txBox="1"/>
      </xdr:nvSpPr>
      <xdr:spPr>
        <a:xfrm>
          <a:off x="16203083" y="6921500"/>
          <a:ext cx="550334" cy="351367"/>
        </a:xfrm>
        <a:prstGeom prst="rect">
          <a:avLst/>
        </a:prstGeom>
        <a:solidFill>
          <a:sysClr val="window" lastClr="FFFFFF"/>
        </a:solidFill>
        <a:ln w="9525" cmpd="sng">
          <a:solidFill>
            <a:sysClr val="window" lastClr="FFFFFF">
              <a:shade val="50000"/>
            </a:sysClr>
          </a:solid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nl-NL" sz="1800" b="0" i="0" u="none" strike="noStrike" kern="0" cap="none" spc="0" normalizeH="0" baseline="0" noProof="0">
              <a:ln>
                <a:noFill/>
              </a:ln>
              <a:solidFill>
                <a:sysClr val="windowText" lastClr="000000"/>
              </a:solidFill>
              <a:effectLst/>
              <a:uLnTx/>
              <a:uFillTx/>
              <a:latin typeface="Calibri"/>
              <a:ea typeface="+mn-ea"/>
              <a:cs typeface="+mn-cs"/>
            </a:rPr>
            <a:t>19</a:t>
          </a:r>
        </a:p>
      </xdr:txBody>
    </xdr:sp>
    <xdr:clientData/>
  </xdr:twoCellAnchor>
  <xdr:twoCellAnchor>
    <xdr:from>
      <xdr:col>4</xdr:col>
      <xdr:colOff>95250</xdr:colOff>
      <xdr:row>4</xdr:row>
      <xdr:rowOff>190500</xdr:rowOff>
    </xdr:from>
    <xdr:to>
      <xdr:col>4</xdr:col>
      <xdr:colOff>381000</xdr:colOff>
      <xdr:row>6</xdr:row>
      <xdr:rowOff>0</xdr:rowOff>
    </xdr:to>
    <xdr:sp macro="" textlink="">
      <xdr:nvSpPr>
        <xdr:cNvPr id="22" name="Tekstvak 21">
          <a:extLst>
            <a:ext uri="{FF2B5EF4-FFF2-40B4-BE49-F238E27FC236}">
              <a16:creationId xmlns:a16="http://schemas.microsoft.com/office/drawing/2014/main" id="{00000000-0008-0000-0000-000016000000}"/>
            </a:ext>
          </a:extLst>
        </xdr:cNvPr>
        <xdr:cNvSpPr txBox="1"/>
      </xdr:nvSpPr>
      <xdr:spPr>
        <a:xfrm>
          <a:off x="1799167" y="1005417"/>
          <a:ext cx="285750" cy="3915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l-NL" sz="1800"/>
            <a:t>3</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3</xdr:row>
      <xdr:rowOff>221192</xdr:rowOff>
    </xdr:from>
    <xdr:to>
      <xdr:col>8</xdr:col>
      <xdr:colOff>0</xdr:colOff>
      <xdr:row>23</xdr:row>
      <xdr:rowOff>63500</xdr:rowOff>
    </xdr:to>
    <xdr:graphicFrame macro="">
      <xdr:nvGraphicFramePr>
        <xdr:cNvPr id="1510" name="Chart 56">
          <a:extLst>
            <a:ext uri="{FF2B5EF4-FFF2-40B4-BE49-F238E27FC236}">
              <a16:creationId xmlns:a16="http://schemas.microsoft.com/office/drawing/2014/main" id="{00000000-0008-0000-0100-0000E605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9525</xdr:colOff>
      <xdr:row>4</xdr:row>
      <xdr:rowOff>9525</xdr:rowOff>
    </xdr:from>
    <xdr:to>
      <xdr:col>13</xdr:col>
      <xdr:colOff>561975</xdr:colOff>
      <xdr:row>23</xdr:row>
      <xdr:rowOff>95250</xdr:rowOff>
    </xdr:to>
    <xdr:graphicFrame macro="">
      <xdr:nvGraphicFramePr>
        <xdr:cNvPr id="1511" name="Chart 58">
          <a:extLst>
            <a:ext uri="{FF2B5EF4-FFF2-40B4-BE49-F238E27FC236}">
              <a16:creationId xmlns:a16="http://schemas.microsoft.com/office/drawing/2014/main" id="{00000000-0008-0000-0100-0000E705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47</xdr:col>
      <xdr:colOff>85725</xdr:colOff>
      <xdr:row>7</xdr:row>
      <xdr:rowOff>9525</xdr:rowOff>
    </xdr:from>
    <xdr:to>
      <xdr:col>55</xdr:col>
      <xdr:colOff>323850</xdr:colOff>
      <xdr:row>29</xdr:row>
      <xdr:rowOff>28575</xdr:rowOff>
    </xdr:to>
    <xdr:graphicFrame macro="">
      <xdr:nvGraphicFramePr>
        <xdr:cNvPr id="4098" name="Chart 74">
          <a:extLst>
            <a:ext uri="{FF2B5EF4-FFF2-40B4-BE49-F238E27FC236}">
              <a16:creationId xmlns:a16="http://schemas.microsoft.com/office/drawing/2014/main" id="{00000000-0008-0000-0200-000002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R51"/>
  <sheetViews>
    <sheetView zoomScale="90" zoomScaleNormal="90" workbookViewId="0">
      <selection activeCell="F18" sqref="F18"/>
    </sheetView>
  </sheetViews>
  <sheetFormatPr defaultRowHeight="12.75" x14ac:dyDescent="0.2"/>
  <cols>
    <col min="1" max="1" width="0.7109375" style="341" customWidth="1"/>
    <col min="2" max="2" width="4.28515625" style="341" customWidth="1"/>
    <col min="3" max="3" width="10.85546875" style="341" customWidth="1"/>
    <col min="4" max="4" width="9.7109375" style="341" customWidth="1"/>
    <col min="5" max="5" width="7.140625" style="341" bestFit="1" customWidth="1"/>
    <col min="6" max="6" width="49.42578125" style="341" customWidth="1"/>
    <col min="7" max="7" width="10.7109375" style="341" customWidth="1"/>
    <col min="8" max="8" width="18.85546875" style="341" customWidth="1"/>
    <col min="9" max="9" width="12.7109375" style="341" customWidth="1"/>
    <col min="10" max="11" width="10.7109375" style="341" customWidth="1"/>
    <col min="12" max="12" width="26" style="341" customWidth="1"/>
    <col min="13" max="13" width="7.85546875" style="341" customWidth="1"/>
    <col min="14" max="14" width="8.5703125" style="341" bestFit="1" customWidth="1"/>
    <col min="15" max="15" width="3.7109375" style="341" customWidth="1"/>
    <col min="16" max="16" width="43.7109375" style="341" customWidth="1"/>
    <col min="17" max="17" width="17.28515625" style="341" bestFit="1" customWidth="1"/>
    <col min="18" max="18" width="18.5703125" style="341" customWidth="1"/>
    <col min="19" max="16384" width="9.140625" style="341"/>
  </cols>
  <sheetData>
    <row r="1" spans="2:18" ht="4.5" customHeight="1" thickBot="1" x14ac:dyDescent="0.25"/>
    <row r="2" spans="2:18" ht="21.75" customHeight="1" thickBot="1" x14ac:dyDescent="0.3">
      <c r="B2" s="329"/>
      <c r="C2" s="330"/>
      <c r="D2" s="330"/>
      <c r="E2" s="331"/>
      <c r="F2" s="342" t="str">
        <f>SWeRF!F2</f>
        <v>Sample……</v>
      </c>
      <c r="G2" s="343" t="str">
        <f>SWeRF!G2</f>
        <v>Date:</v>
      </c>
      <c r="H2" s="344">
        <f>SWeRF!H2</f>
        <v>44137</v>
      </c>
      <c r="I2" s="316" t="s">
        <v>43</v>
      </c>
      <c r="J2" s="201"/>
      <c r="K2" s="202"/>
      <c r="L2" s="188" t="s">
        <v>30</v>
      </c>
      <c r="M2" s="345">
        <f>SWeRF!M2</f>
        <v>2</v>
      </c>
      <c r="N2" s="135" t="s">
        <v>11</v>
      </c>
      <c r="O2" s="124"/>
      <c r="P2" s="124"/>
      <c r="Q2" s="124"/>
      <c r="R2" s="124"/>
    </row>
    <row r="3" spans="2:18" ht="19.5" customHeight="1" x14ac:dyDescent="0.2">
      <c r="B3" s="332"/>
      <c r="C3" s="333"/>
      <c r="D3" s="333"/>
      <c r="E3" s="334"/>
      <c r="F3" s="346" t="str">
        <f>SWeRF!F3</f>
        <v>Extra sample information…..</v>
      </c>
      <c r="G3" s="347"/>
      <c r="H3" s="348"/>
      <c r="I3" s="115" t="str">
        <f>SWeRF!I3</f>
        <v>Density =</v>
      </c>
      <c r="J3" s="349">
        <f>SWeRF!J3</f>
        <v>4400</v>
      </c>
      <c r="K3" s="132" t="str">
        <f>SWeRF!K3</f>
        <v>kg/m3</v>
      </c>
      <c r="L3" s="133" t="str">
        <f>SWeRF!L3</f>
        <v>CS Density =</v>
      </c>
      <c r="M3" s="349">
        <f>SWeRF!M3</f>
        <v>2650</v>
      </c>
      <c r="N3" s="132" t="str">
        <f>SWeRF!N3</f>
        <v>kg/m3</v>
      </c>
      <c r="O3" s="124"/>
      <c r="P3" s="124"/>
      <c r="Q3" s="124"/>
      <c r="R3" s="124"/>
    </row>
    <row r="4" spans="2:18" ht="18.75" customHeight="1" thickBot="1" x14ac:dyDescent="0.25">
      <c r="B4" s="335"/>
      <c r="C4" s="336"/>
      <c r="D4" s="336"/>
      <c r="E4" s="337"/>
      <c r="F4" s="350"/>
      <c r="G4" s="351"/>
      <c r="H4" s="352"/>
      <c r="I4" s="265" t="str">
        <f>SWeRF!I4</f>
        <v>SWeRF =</v>
      </c>
      <c r="J4" s="266">
        <f>SWeRF!J4</f>
        <v>17.017600723311965</v>
      </c>
      <c r="K4" s="116" t="str">
        <f>SWeRF!K4</f>
        <v>%</v>
      </c>
      <c r="L4" s="265" t="str">
        <f>SWeRF!L4</f>
        <v>SWeRFcs =</v>
      </c>
      <c r="M4" s="266">
        <f>SWeRF!M4</f>
        <v>0.51913800797095055</v>
      </c>
      <c r="N4" s="116" t="str">
        <f>SWeRF!N4</f>
        <v>%</v>
      </c>
      <c r="O4" s="124"/>
      <c r="P4" s="124"/>
      <c r="Q4" s="124"/>
      <c r="R4" s="124"/>
    </row>
    <row r="5" spans="2:18" ht="24.75" thickBot="1" x14ac:dyDescent="0.25">
      <c r="B5" s="206" t="s">
        <v>1</v>
      </c>
      <c r="C5" s="353">
        <f>SWeRF!C5</f>
        <v>50</v>
      </c>
      <c r="D5" s="268">
        <f>SWeRF!D5</f>
        <v>4.1006065711557627</v>
      </c>
      <c r="E5" s="207" t="s">
        <v>10</v>
      </c>
      <c r="F5" s="124"/>
      <c r="G5" s="124"/>
      <c r="H5" s="124"/>
      <c r="I5" s="124"/>
      <c r="J5" s="124"/>
      <c r="K5" s="124"/>
      <c r="L5" s="124"/>
      <c r="M5" s="124"/>
      <c r="N5" s="124"/>
      <c r="O5" s="124"/>
      <c r="P5" s="203"/>
      <c r="Q5" s="204" t="s">
        <v>60</v>
      </c>
      <c r="R5" s="205"/>
    </row>
    <row r="6" spans="2:18" ht="21" customHeight="1" thickBot="1" x14ac:dyDescent="0.25">
      <c r="B6" s="209" t="s">
        <v>26</v>
      </c>
      <c r="C6" s="210">
        <f>SWeRF!C6</f>
        <v>0</v>
      </c>
      <c r="D6" s="269">
        <f>SWeRF!D6</f>
        <v>0.423154543182655</v>
      </c>
      <c r="E6" s="211" t="s">
        <v>104</v>
      </c>
      <c r="F6" s="124"/>
      <c r="G6" s="124"/>
      <c r="H6" s="124"/>
      <c r="I6" s="124"/>
      <c r="J6" s="124"/>
      <c r="K6" s="124"/>
      <c r="L6" s="124"/>
      <c r="M6" s="124"/>
      <c r="N6" s="124"/>
      <c r="O6" s="124"/>
      <c r="P6" s="181" t="s">
        <v>85</v>
      </c>
      <c r="Q6" s="354">
        <f>SWeRF!Q6</f>
        <v>20.5</v>
      </c>
      <c r="R6" s="182" t="s">
        <v>86</v>
      </c>
    </row>
    <row r="7" spans="2:18" ht="21" customHeight="1" thickBot="1" x14ac:dyDescent="0.25">
      <c r="B7" s="355"/>
      <c r="C7" s="303" t="str">
        <f>SWeRF!C7</f>
        <v>Rel.span*</v>
      </c>
      <c r="D7" s="301">
        <f>SWeRF!D7</f>
        <v>2.0213390951898176</v>
      </c>
      <c r="E7" s="302"/>
      <c r="F7" s="123"/>
      <c r="G7" s="122"/>
      <c r="H7" s="122"/>
      <c r="I7" s="124"/>
      <c r="J7" s="124"/>
      <c r="K7" s="124"/>
      <c r="L7" s="124"/>
      <c r="M7" s="124"/>
      <c r="N7" s="124"/>
      <c r="O7" s="124"/>
      <c r="P7" s="183" t="s">
        <v>53</v>
      </c>
      <c r="Q7" s="356">
        <f>SWeRF!Q7</f>
        <v>0.99032960482252519</v>
      </c>
      <c r="R7" s="184" t="s">
        <v>105</v>
      </c>
    </row>
    <row r="8" spans="2:18" ht="14.25" x14ac:dyDescent="0.2">
      <c r="B8" s="357"/>
      <c r="C8" s="213" t="str">
        <f>SWeRF!C8</f>
        <v>Diameter</v>
      </c>
      <c r="D8" s="191" t="str">
        <f>SWeRF!D8</f>
        <v>Cum.</v>
      </c>
      <c r="E8" s="313"/>
      <c r="F8" s="126"/>
      <c r="G8" s="124"/>
      <c r="H8" s="124"/>
      <c r="I8" s="124"/>
      <c r="J8" s="124"/>
      <c r="K8" s="124"/>
      <c r="L8" s="124"/>
      <c r="M8" s="124"/>
      <c r="N8" s="124"/>
      <c r="O8" s="124"/>
      <c r="P8" s="183" t="s">
        <v>52</v>
      </c>
      <c r="Q8" s="358">
        <f>SWeRF!Q8</f>
        <v>998.06037215499998</v>
      </c>
      <c r="R8" s="184" t="s">
        <v>103</v>
      </c>
    </row>
    <row r="9" spans="2:18" ht="14.25" x14ac:dyDescent="0.2">
      <c r="B9" s="357"/>
      <c r="C9" s="214" t="str">
        <f>SWeRF!C9</f>
        <v>(µm)</v>
      </c>
      <c r="D9" s="192" t="str">
        <f>SWeRF!D9</f>
        <v>(%)</v>
      </c>
      <c r="M9" s="124"/>
      <c r="N9" s="124"/>
      <c r="O9" s="124"/>
      <c r="P9" s="183" t="s">
        <v>75</v>
      </c>
      <c r="Q9" s="359">
        <f>SWeRF!Q9</f>
        <v>2.5</v>
      </c>
      <c r="R9" s="184" t="s">
        <v>76</v>
      </c>
    </row>
    <row r="10" spans="2:18" ht="14.25" x14ac:dyDescent="0.2">
      <c r="B10" s="357"/>
      <c r="C10" s="360">
        <f>SWeRF!C10</f>
        <v>0.1</v>
      </c>
      <c r="D10" s="361">
        <f>SWeRF!D10</f>
        <v>4.2178545661123111E-6</v>
      </c>
      <c r="E10" s="310"/>
      <c r="F10" s="362" t="s">
        <v>117</v>
      </c>
      <c r="G10" s="124"/>
      <c r="H10" s="124"/>
      <c r="I10" s="124"/>
      <c r="J10" s="124"/>
      <c r="K10" s="124"/>
      <c r="L10" s="121"/>
      <c r="M10" s="114"/>
      <c r="N10" s="119"/>
      <c r="O10" s="124"/>
      <c r="P10" s="185" t="s">
        <v>58</v>
      </c>
      <c r="Q10" s="363">
        <f>SWeRF!Q10</f>
        <v>0.1</v>
      </c>
      <c r="R10" s="208" t="s">
        <v>56</v>
      </c>
    </row>
    <row r="11" spans="2:18" ht="15" thickBot="1" x14ac:dyDescent="0.25">
      <c r="B11" s="357"/>
      <c r="C11" s="360">
        <f>SWeRF!C11</f>
        <v>0.20553827970585661</v>
      </c>
      <c r="D11" s="361">
        <f>SWeRF!D11</f>
        <v>7.867306237741953E-4</v>
      </c>
      <c r="M11" s="121"/>
      <c r="N11" s="124"/>
      <c r="O11" s="124"/>
      <c r="P11" s="189" t="s">
        <v>55</v>
      </c>
      <c r="Q11" s="364">
        <f>SWeRF!Q11</f>
        <v>0.22</v>
      </c>
      <c r="R11" s="212" t="s">
        <v>56</v>
      </c>
    </row>
    <row r="12" spans="2:18" ht="15.75" thickBot="1" x14ac:dyDescent="0.25">
      <c r="F12" s="365" t="s">
        <v>108</v>
      </c>
      <c r="G12" s="366"/>
      <c r="H12" s="367"/>
      <c r="I12" s="367"/>
      <c r="J12" s="367"/>
      <c r="K12" s="367"/>
      <c r="L12" s="368"/>
      <c r="M12" s="121"/>
      <c r="N12" s="124"/>
      <c r="O12" s="124"/>
      <c r="P12" s="124"/>
      <c r="Q12" s="124"/>
      <c r="R12" s="124"/>
    </row>
    <row r="13" spans="2:18" ht="13.5" thickBot="1" x14ac:dyDescent="0.25">
      <c r="E13" s="369" t="s">
        <v>131</v>
      </c>
      <c r="M13" s="121"/>
      <c r="N13" s="124"/>
      <c r="O13" s="124"/>
      <c r="P13" s="215" t="s">
        <v>64</v>
      </c>
      <c r="Q13" s="219"/>
      <c r="R13" s="217"/>
    </row>
    <row r="14" spans="2:18" ht="15.75" x14ac:dyDescent="0.25">
      <c r="E14" s="370">
        <v>1</v>
      </c>
      <c r="F14" s="371" t="s">
        <v>126</v>
      </c>
      <c r="G14" s="372"/>
      <c r="H14" s="372"/>
      <c r="I14" s="373"/>
      <c r="J14" s="373"/>
      <c r="K14" s="373"/>
      <c r="L14" s="374"/>
      <c r="M14" s="121"/>
      <c r="N14" s="124"/>
      <c r="O14" s="124"/>
      <c r="P14" s="218" t="s">
        <v>62</v>
      </c>
      <c r="Q14" s="195">
        <f>SWeRF!Q14</f>
        <v>8.1805144718486392E-2</v>
      </c>
      <c r="R14" s="278" t="s">
        <v>57</v>
      </c>
    </row>
    <row r="15" spans="2:18" ht="15.75" x14ac:dyDescent="0.25">
      <c r="E15" s="375"/>
      <c r="F15" s="376" t="s">
        <v>157</v>
      </c>
      <c r="G15" s="377"/>
      <c r="H15" s="377"/>
      <c r="I15" s="378"/>
      <c r="J15" s="378"/>
      <c r="K15" s="378"/>
      <c r="L15" s="379"/>
      <c r="M15" s="121"/>
      <c r="N15" s="124"/>
      <c r="O15" s="124"/>
      <c r="P15" s="199" t="s">
        <v>147</v>
      </c>
      <c r="Q15" s="380">
        <f>SWeRF!Q15</f>
        <v>0.224</v>
      </c>
      <c r="R15" s="279" t="s">
        <v>76</v>
      </c>
    </row>
    <row r="16" spans="2:18" ht="15" x14ac:dyDescent="0.2">
      <c r="E16" s="381"/>
      <c r="F16" s="376" t="s">
        <v>156</v>
      </c>
      <c r="G16" s="378"/>
      <c r="H16" s="378"/>
      <c r="I16" s="378"/>
      <c r="J16" s="378"/>
      <c r="K16" s="378"/>
      <c r="L16" s="379"/>
      <c r="M16" s="121"/>
      <c r="N16" s="124"/>
      <c r="O16" s="124"/>
      <c r="P16" s="199" t="s">
        <v>128</v>
      </c>
      <c r="Q16" s="382">
        <f>SWeRF!Q16</f>
        <v>15</v>
      </c>
      <c r="R16" s="279" t="s">
        <v>11</v>
      </c>
    </row>
    <row r="17" spans="5:18" ht="15.75" thickBot="1" x14ac:dyDescent="0.25">
      <c r="E17" s="381"/>
      <c r="F17" s="383" t="s">
        <v>151</v>
      </c>
      <c r="G17" s="384"/>
      <c r="H17" s="384"/>
      <c r="I17" s="384"/>
      <c r="J17" s="384"/>
      <c r="K17" s="384"/>
      <c r="L17" s="385"/>
      <c r="M17" s="121"/>
      <c r="N17" s="124"/>
      <c r="O17" s="124"/>
      <c r="P17" s="200" t="s">
        <v>63</v>
      </c>
      <c r="Q17" s="252">
        <f>SWeRF!Q17</f>
        <v>2.9567999999999999</v>
      </c>
      <c r="R17" s="198" t="s">
        <v>11</v>
      </c>
    </row>
    <row r="18" spans="5:18" ht="15" x14ac:dyDescent="0.2">
      <c r="E18" s="386">
        <v>2</v>
      </c>
      <c r="F18" s="383" t="s">
        <v>144</v>
      </c>
      <c r="G18" s="384"/>
      <c r="H18" s="384"/>
      <c r="I18" s="384"/>
      <c r="J18" s="384"/>
      <c r="K18" s="384"/>
      <c r="L18" s="385"/>
      <c r="M18" s="121"/>
      <c r="N18" s="124"/>
      <c r="O18" s="124"/>
      <c r="P18" s="124"/>
      <c r="Q18" s="124"/>
      <c r="R18" s="124"/>
    </row>
    <row r="19" spans="5:18" ht="15" x14ac:dyDescent="0.2">
      <c r="E19" s="386">
        <v>3</v>
      </c>
      <c r="F19" s="387" t="s">
        <v>120</v>
      </c>
      <c r="G19" s="388"/>
      <c r="H19" s="388"/>
      <c r="I19" s="388"/>
      <c r="J19" s="388"/>
      <c r="K19" s="388"/>
      <c r="L19" s="389"/>
      <c r="M19" s="121"/>
      <c r="N19" s="124"/>
      <c r="O19" s="124"/>
      <c r="P19" s="124"/>
      <c r="Q19" s="390" t="s">
        <v>87</v>
      </c>
      <c r="R19" s="124"/>
    </row>
    <row r="20" spans="5:18" ht="15" x14ac:dyDescent="0.2">
      <c r="E20" s="386">
        <v>4</v>
      </c>
      <c r="F20" s="371" t="s">
        <v>155</v>
      </c>
      <c r="G20" s="373"/>
      <c r="H20" s="373"/>
      <c r="I20" s="373"/>
      <c r="J20" s="373"/>
      <c r="K20" s="373"/>
      <c r="L20" s="374"/>
      <c r="M20" s="121"/>
      <c r="N20" s="124"/>
      <c r="O20" s="124"/>
      <c r="P20" s="124"/>
      <c r="Q20" s="124"/>
      <c r="R20" s="124"/>
    </row>
    <row r="21" spans="5:18" ht="15" x14ac:dyDescent="0.2">
      <c r="E21" s="386"/>
      <c r="F21" s="383" t="s">
        <v>150</v>
      </c>
      <c r="G21" s="384"/>
      <c r="H21" s="384"/>
      <c r="I21" s="384"/>
      <c r="J21" s="384"/>
      <c r="K21" s="384"/>
      <c r="L21" s="385"/>
      <c r="M21" s="121"/>
      <c r="N21" s="124"/>
      <c r="O21" s="124"/>
      <c r="P21" s="124"/>
      <c r="Q21" s="124"/>
      <c r="R21" s="124"/>
    </row>
    <row r="22" spans="5:18" ht="15" x14ac:dyDescent="0.2">
      <c r="E22" s="386">
        <v>5</v>
      </c>
      <c r="F22" s="387" t="s">
        <v>132</v>
      </c>
      <c r="G22" s="391"/>
      <c r="H22" s="391"/>
      <c r="I22" s="388"/>
      <c r="J22" s="388"/>
      <c r="K22" s="388"/>
      <c r="L22" s="389"/>
      <c r="M22" s="121"/>
      <c r="N22" s="124"/>
      <c r="O22" s="124"/>
      <c r="P22" s="124"/>
      <c r="Q22" s="124"/>
      <c r="R22" s="124"/>
    </row>
    <row r="23" spans="5:18" ht="15" x14ac:dyDescent="0.2">
      <c r="E23" s="386">
        <v>6</v>
      </c>
      <c r="F23" s="387" t="s">
        <v>109</v>
      </c>
      <c r="L23" s="389"/>
      <c r="M23" s="121"/>
      <c r="N23" s="124"/>
      <c r="O23" s="124"/>
      <c r="P23" s="124"/>
      <c r="Q23" s="124"/>
      <c r="R23" s="124"/>
    </row>
    <row r="24" spans="5:18" ht="15" x14ac:dyDescent="0.2">
      <c r="E24" s="386">
        <v>7</v>
      </c>
      <c r="F24" s="387" t="s">
        <v>133</v>
      </c>
      <c r="G24" s="391"/>
      <c r="H24" s="391"/>
      <c r="I24" s="388"/>
      <c r="J24" s="388"/>
      <c r="K24" s="388"/>
      <c r="L24" s="389"/>
      <c r="M24" s="121"/>
      <c r="N24" s="124"/>
      <c r="O24" s="124"/>
      <c r="P24" s="124"/>
      <c r="Q24" s="124"/>
      <c r="R24" s="124"/>
    </row>
    <row r="25" spans="5:18" ht="15" x14ac:dyDescent="0.2">
      <c r="E25" s="386">
        <v>8</v>
      </c>
      <c r="F25" s="387" t="s">
        <v>158</v>
      </c>
      <c r="G25" s="391"/>
      <c r="H25" s="391"/>
      <c r="I25" s="388"/>
      <c r="J25" s="388"/>
      <c r="K25" s="388"/>
      <c r="L25" s="389"/>
      <c r="M25" s="121"/>
      <c r="N25" s="124"/>
      <c r="O25" s="124"/>
      <c r="P25" s="131" t="s">
        <v>99</v>
      </c>
      <c r="Q25" s="124"/>
      <c r="R25" s="124"/>
    </row>
    <row r="26" spans="5:18" ht="15" x14ac:dyDescent="0.2">
      <c r="E26" s="370">
        <v>9</v>
      </c>
      <c r="F26" s="371" t="s">
        <v>118</v>
      </c>
      <c r="G26" s="392"/>
      <c r="H26" s="392"/>
      <c r="I26" s="373"/>
      <c r="J26" s="373"/>
      <c r="K26" s="373"/>
      <c r="L26" s="374"/>
      <c r="M26" s="121"/>
      <c r="N26" s="124"/>
      <c r="O26" s="124"/>
      <c r="P26" s="124" t="s">
        <v>96</v>
      </c>
      <c r="Q26" s="124"/>
      <c r="R26" s="124"/>
    </row>
    <row r="27" spans="5:18" ht="15" x14ac:dyDescent="0.2">
      <c r="E27" s="375"/>
      <c r="F27" s="383" t="s">
        <v>121</v>
      </c>
      <c r="G27" s="393"/>
      <c r="H27" s="393"/>
      <c r="I27" s="384"/>
      <c r="J27" s="384"/>
      <c r="K27" s="384"/>
      <c r="L27" s="385"/>
      <c r="M27" s="121"/>
      <c r="N27" s="124"/>
      <c r="O27" s="124"/>
      <c r="P27" s="124" t="s">
        <v>101</v>
      </c>
      <c r="Q27" s="124"/>
      <c r="R27" s="124"/>
    </row>
    <row r="28" spans="5:18" ht="14.25" x14ac:dyDescent="0.2">
      <c r="E28" s="394"/>
      <c r="M28" s="121"/>
      <c r="N28" s="124"/>
      <c r="O28" s="124"/>
      <c r="P28" s="124" t="s">
        <v>100</v>
      </c>
      <c r="Q28" s="124"/>
      <c r="R28" s="124"/>
    </row>
    <row r="29" spans="5:18" ht="15" x14ac:dyDescent="0.2">
      <c r="E29" s="386">
        <v>10</v>
      </c>
      <c r="F29" s="371" t="s">
        <v>114</v>
      </c>
      <c r="G29" s="373"/>
      <c r="H29" s="373"/>
      <c r="I29" s="373"/>
      <c r="J29" s="373"/>
      <c r="K29" s="373"/>
      <c r="L29" s="374"/>
      <c r="M29" s="121"/>
      <c r="N29" s="124"/>
      <c r="O29" s="124"/>
      <c r="P29" s="124" t="s">
        <v>97</v>
      </c>
      <c r="Q29" s="124"/>
      <c r="R29" s="124"/>
    </row>
    <row r="30" spans="5:18" ht="15.75" thickBot="1" x14ac:dyDescent="0.25">
      <c r="E30" s="375"/>
      <c r="F30" s="383" t="s">
        <v>149</v>
      </c>
      <c r="G30" s="384"/>
      <c r="H30" s="384"/>
      <c r="I30" s="384"/>
      <c r="J30" s="384"/>
      <c r="K30" s="384"/>
      <c r="L30" s="385"/>
      <c r="M30" s="121"/>
      <c r="N30" s="124"/>
      <c r="O30" s="124"/>
      <c r="P30" s="124"/>
      <c r="Q30" s="124"/>
      <c r="R30" s="124"/>
    </row>
    <row r="31" spans="5:18" ht="15.75" thickBot="1" x14ac:dyDescent="0.25">
      <c r="E31" s="386">
        <v>11</v>
      </c>
      <c r="F31" s="371" t="s">
        <v>145</v>
      </c>
      <c r="G31" s="373"/>
      <c r="H31" s="373"/>
      <c r="I31" s="373"/>
      <c r="J31" s="373"/>
      <c r="K31" s="373"/>
      <c r="L31" s="374"/>
      <c r="M31" s="121"/>
      <c r="N31" s="124"/>
      <c r="O31" s="124"/>
      <c r="P31" s="215" t="s">
        <v>102</v>
      </c>
      <c r="Q31" s="216"/>
      <c r="R31" s="217"/>
    </row>
    <row r="32" spans="5:18" ht="15" x14ac:dyDescent="0.2">
      <c r="E32" s="375"/>
      <c r="F32" s="383" t="s">
        <v>146</v>
      </c>
      <c r="G32" s="384"/>
      <c r="H32" s="384"/>
      <c r="I32" s="384"/>
      <c r="J32" s="384"/>
      <c r="K32" s="384"/>
      <c r="L32" s="385"/>
      <c r="M32" s="121"/>
      <c r="N32" s="124"/>
      <c r="O32" s="124"/>
      <c r="P32" s="218" t="s">
        <v>61</v>
      </c>
      <c r="Q32" s="195">
        <f>SWeRF!Q32</f>
        <v>6.5956103233847832E-2</v>
      </c>
      <c r="R32" s="278" t="s">
        <v>57</v>
      </c>
    </row>
    <row r="33" spans="5:18" ht="15" x14ac:dyDescent="0.2">
      <c r="E33" s="386">
        <v>12</v>
      </c>
      <c r="F33" s="376" t="s">
        <v>113</v>
      </c>
      <c r="G33" s="378"/>
      <c r="H33" s="378"/>
      <c r="I33" s="378"/>
      <c r="J33" s="378"/>
      <c r="K33" s="378"/>
      <c r="L33" s="379"/>
      <c r="M33" s="121"/>
      <c r="N33" s="124"/>
      <c r="O33" s="124"/>
      <c r="P33" s="199" t="s">
        <v>106</v>
      </c>
      <c r="Q33" s="380">
        <f>SWeRF!Q33</f>
        <v>0.192</v>
      </c>
      <c r="R33" s="279" t="s">
        <v>76</v>
      </c>
    </row>
    <row r="34" spans="5:18" ht="15" x14ac:dyDescent="0.2">
      <c r="E34" s="375"/>
      <c r="F34" s="383" t="s">
        <v>112</v>
      </c>
      <c r="G34" s="384"/>
      <c r="H34" s="384"/>
      <c r="I34" s="384"/>
      <c r="J34" s="384"/>
      <c r="K34" s="384"/>
      <c r="L34" s="385"/>
      <c r="M34" s="121"/>
      <c r="N34" s="124"/>
      <c r="O34" s="124"/>
      <c r="P34" s="304" t="s">
        <v>107</v>
      </c>
      <c r="Q34" s="305">
        <f>SWeRF!Q34</f>
        <v>16.896000000000001</v>
      </c>
      <c r="R34" s="277" t="s">
        <v>11</v>
      </c>
    </row>
    <row r="35" spans="5:18" ht="15" thickBot="1" x14ac:dyDescent="0.25">
      <c r="E35" s="381"/>
      <c r="M35" s="121"/>
      <c r="N35" s="124"/>
      <c r="O35" s="124"/>
      <c r="P35" s="306" t="s">
        <v>95</v>
      </c>
      <c r="Q35" s="307">
        <f>SWeRF!Q35</f>
        <v>17.098851031332003</v>
      </c>
      <c r="R35" s="276" t="s">
        <v>11</v>
      </c>
    </row>
    <row r="36" spans="5:18" ht="15" x14ac:dyDescent="0.2">
      <c r="E36" s="386">
        <v>13</v>
      </c>
      <c r="F36" s="371" t="s">
        <v>122</v>
      </c>
      <c r="G36" s="373"/>
      <c r="H36" s="373"/>
      <c r="I36" s="373"/>
      <c r="J36" s="373"/>
      <c r="K36" s="373"/>
      <c r="L36" s="374"/>
      <c r="M36" s="121"/>
      <c r="N36" s="124"/>
    </row>
    <row r="37" spans="5:18" ht="15" x14ac:dyDescent="0.2">
      <c r="E37" s="375"/>
      <c r="F37" s="383" t="s">
        <v>111</v>
      </c>
      <c r="G37" s="384"/>
      <c r="H37" s="384"/>
      <c r="I37" s="384"/>
      <c r="J37" s="384"/>
      <c r="K37" s="384"/>
      <c r="L37" s="385"/>
      <c r="M37" s="121"/>
      <c r="N37" s="124"/>
    </row>
    <row r="38" spans="5:18" ht="15" x14ac:dyDescent="0.2">
      <c r="E38" s="386">
        <v>14</v>
      </c>
      <c r="F38" s="371" t="s">
        <v>115</v>
      </c>
      <c r="G38" s="373"/>
      <c r="H38" s="373"/>
      <c r="I38" s="373"/>
      <c r="J38" s="373"/>
      <c r="K38" s="373"/>
      <c r="L38" s="374"/>
      <c r="M38" s="121"/>
      <c r="N38" s="124"/>
      <c r="P38" s="395"/>
    </row>
    <row r="39" spans="5:18" ht="15" x14ac:dyDescent="0.2">
      <c r="E39" s="375"/>
      <c r="F39" s="383" t="s">
        <v>116</v>
      </c>
      <c r="G39" s="384"/>
      <c r="H39" s="384"/>
      <c r="I39" s="384"/>
      <c r="J39" s="384"/>
      <c r="K39" s="384"/>
      <c r="L39" s="385"/>
      <c r="M39" s="121"/>
      <c r="N39" s="124"/>
    </row>
    <row r="40" spans="5:18" ht="15" x14ac:dyDescent="0.2">
      <c r="E40" s="386">
        <v>15</v>
      </c>
      <c r="F40" s="387" t="s">
        <v>119</v>
      </c>
      <c r="G40" s="388"/>
      <c r="H40" s="388"/>
      <c r="I40" s="388"/>
      <c r="J40" s="388"/>
      <c r="K40" s="388"/>
      <c r="L40" s="389"/>
    </row>
    <row r="41" spans="5:18" x14ac:dyDescent="0.2">
      <c r="E41" s="381"/>
    </row>
    <row r="42" spans="5:18" ht="15" x14ac:dyDescent="0.2">
      <c r="E42" s="396">
        <v>16</v>
      </c>
      <c r="F42" s="371" t="s">
        <v>127</v>
      </c>
      <c r="G42" s="373"/>
      <c r="H42" s="373"/>
      <c r="I42" s="373"/>
      <c r="J42" s="373"/>
      <c r="K42" s="373"/>
      <c r="L42" s="374"/>
    </row>
    <row r="43" spans="5:18" ht="15" x14ac:dyDescent="0.2">
      <c r="E43" s="386">
        <v>17</v>
      </c>
      <c r="F43" s="371" t="s">
        <v>123</v>
      </c>
      <c r="G43" s="373"/>
      <c r="H43" s="373"/>
      <c r="I43" s="373"/>
      <c r="J43" s="373"/>
      <c r="K43" s="373"/>
      <c r="L43" s="374"/>
    </row>
    <row r="44" spans="5:18" ht="15" x14ac:dyDescent="0.2">
      <c r="E44" s="375"/>
      <c r="F44" s="383" t="s">
        <v>110</v>
      </c>
      <c r="G44" s="384"/>
      <c r="H44" s="384"/>
      <c r="I44" s="384"/>
      <c r="J44" s="384"/>
      <c r="K44" s="384"/>
      <c r="L44" s="385"/>
    </row>
    <row r="45" spans="5:18" ht="15" x14ac:dyDescent="0.2">
      <c r="E45" s="386">
        <v>18</v>
      </c>
      <c r="F45" s="387" t="s">
        <v>130</v>
      </c>
      <c r="G45" s="388"/>
      <c r="H45" s="388"/>
      <c r="I45" s="388"/>
      <c r="J45" s="388"/>
      <c r="K45" s="388"/>
      <c r="L45" s="389"/>
    </row>
    <row r="46" spans="5:18" ht="15" x14ac:dyDescent="0.2">
      <c r="E46" s="386">
        <v>19</v>
      </c>
      <c r="F46" s="371" t="s">
        <v>134</v>
      </c>
      <c r="G46" s="373"/>
      <c r="H46" s="373"/>
      <c r="I46" s="373"/>
      <c r="J46" s="373"/>
      <c r="K46" s="373"/>
      <c r="L46" s="374"/>
    </row>
    <row r="47" spans="5:18" ht="15" x14ac:dyDescent="0.2">
      <c r="E47" s="397"/>
      <c r="F47" s="376" t="s">
        <v>124</v>
      </c>
      <c r="G47" s="378"/>
      <c r="H47" s="378"/>
      <c r="I47" s="378"/>
      <c r="J47" s="378"/>
      <c r="K47" s="378"/>
      <c r="L47" s="379"/>
    </row>
    <row r="48" spans="5:18" ht="15" x14ac:dyDescent="0.2">
      <c r="E48" s="397"/>
      <c r="F48" s="383" t="s">
        <v>125</v>
      </c>
      <c r="G48" s="384"/>
      <c r="H48" s="384"/>
      <c r="I48" s="384"/>
      <c r="J48" s="384"/>
      <c r="K48" s="384"/>
      <c r="L48" s="385"/>
    </row>
    <row r="49" spans="5:12" ht="15" x14ac:dyDescent="0.2">
      <c r="E49" s="386" t="s">
        <v>135</v>
      </c>
      <c r="F49" s="371" t="s">
        <v>137</v>
      </c>
      <c r="G49" s="373"/>
      <c r="H49" s="373"/>
      <c r="I49" s="373"/>
      <c r="J49" s="373"/>
      <c r="K49" s="373"/>
      <c r="L49" s="374"/>
    </row>
    <row r="50" spans="5:12" ht="15" x14ac:dyDescent="0.2">
      <c r="F50" s="376" t="s">
        <v>136</v>
      </c>
      <c r="G50" s="378"/>
      <c r="H50" s="378"/>
      <c r="I50" s="378"/>
      <c r="J50" s="378"/>
      <c r="K50" s="378"/>
      <c r="L50" s="379"/>
    </row>
    <row r="51" spans="5:12" ht="15" x14ac:dyDescent="0.2">
      <c r="F51" s="383" t="s">
        <v>138</v>
      </c>
      <c r="G51" s="384"/>
      <c r="H51" s="384"/>
      <c r="I51" s="384"/>
      <c r="J51" s="384"/>
      <c r="K51" s="384"/>
      <c r="L51" s="385"/>
    </row>
  </sheetData>
  <sheetProtection algorithmName="SHA-512" hashValue="cmfch69Gp3WUCUGFGdUlAWxJ1AtQgo3FL254jOVuU3Bmt0k25Js9sbbbPAeapXdx0b39OrEpX42OhrmZNj5Qgg==" saltValue="kARDKCRQocLeQ6yvYlZOpw==" spinCount="100000" sheet="1"/>
  <mergeCells count="1">
    <mergeCell ref="B2:E4"/>
  </mergeCells>
  <pageMargins left="0.7" right="0.7" top="0.75" bottom="0.75" header="0.3" footer="0.3"/>
  <pageSetup paperSize="9" scale="49"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pageSetUpPr autoPageBreaks="0" fitToPage="1"/>
  </sheetPr>
  <dimension ref="B1:Y235"/>
  <sheetViews>
    <sheetView showGridLines="0" showRowColHeaders="0" tabSelected="1" showOutlineSymbols="0" zoomScale="90" zoomScaleNormal="90" workbookViewId="0">
      <selection activeCell="F2" sqref="F2"/>
    </sheetView>
  </sheetViews>
  <sheetFormatPr defaultRowHeight="12.75" x14ac:dyDescent="0.2"/>
  <cols>
    <col min="1" max="1" width="0.85546875" style="124" customWidth="1"/>
    <col min="2" max="2" width="4.28515625" style="124" customWidth="1"/>
    <col min="3" max="3" width="10.85546875" style="124" customWidth="1"/>
    <col min="4" max="4" width="9.7109375" style="124" customWidth="1"/>
    <col min="5" max="5" width="7.140625" style="124" customWidth="1"/>
    <col min="6" max="6" width="46" style="124" customWidth="1"/>
    <col min="7" max="7" width="10.7109375" style="124" customWidth="1"/>
    <col min="8" max="8" width="18.85546875" style="124" customWidth="1"/>
    <col min="9" max="9" width="12.7109375" style="124" customWidth="1"/>
    <col min="10" max="11" width="10.7109375" style="124" customWidth="1"/>
    <col min="12" max="12" width="24.5703125" style="124" customWidth="1"/>
    <col min="13" max="13" width="9.28515625" style="124" customWidth="1"/>
    <col min="14" max="14" width="8.5703125" style="124" bestFit="1" customWidth="1"/>
    <col min="15" max="15" width="3.7109375" style="124" customWidth="1"/>
    <col min="16" max="16" width="42" style="124" customWidth="1"/>
    <col min="17" max="17" width="17.28515625" style="124" bestFit="1" customWidth="1"/>
    <col min="18" max="18" width="18.5703125" style="124" customWidth="1"/>
    <col min="19" max="20" width="9.140625" style="124"/>
    <col min="21" max="21" width="12.42578125" style="124" bestFit="1" customWidth="1"/>
    <col min="22" max="22" width="10.5703125" style="124" bestFit="1" customWidth="1"/>
    <col min="23" max="24" width="10.5703125" style="124" customWidth="1"/>
    <col min="25" max="25" width="10.5703125" style="124" bestFit="1" customWidth="1"/>
    <col min="26" max="16384" width="9.140625" style="124"/>
  </cols>
  <sheetData>
    <row r="1" spans="2:18" ht="5.0999999999999996" customHeight="1" thickBot="1" x14ac:dyDescent="0.25"/>
    <row r="2" spans="2:18" ht="21.75" customHeight="1" thickBot="1" x14ac:dyDescent="0.25">
      <c r="B2" s="329"/>
      <c r="C2" s="330"/>
      <c r="D2" s="330"/>
      <c r="E2" s="331"/>
      <c r="F2" s="226" t="s">
        <v>152</v>
      </c>
      <c r="G2" s="225" t="s">
        <v>34</v>
      </c>
      <c r="H2" s="224">
        <v>44137</v>
      </c>
      <c r="I2" s="316" t="s">
        <v>43</v>
      </c>
      <c r="J2" s="325"/>
      <c r="K2" s="326"/>
      <c r="L2" s="188" t="s">
        <v>30</v>
      </c>
      <c r="M2" s="134">
        <v>2</v>
      </c>
      <c r="N2" s="135" t="s">
        <v>11</v>
      </c>
    </row>
    <row r="3" spans="2:18" ht="18.75" customHeight="1" x14ac:dyDescent="0.2">
      <c r="B3" s="332"/>
      <c r="C3" s="333"/>
      <c r="D3" s="333"/>
      <c r="E3" s="334"/>
      <c r="F3" s="193" t="s">
        <v>153</v>
      </c>
      <c r="G3" s="223"/>
      <c r="H3" s="264"/>
      <c r="I3" s="115" t="s">
        <v>12</v>
      </c>
      <c r="J3" s="117">
        <v>4400</v>
      </c>
      <c r="K3" s="132" t="s">
        <v>28</v>
      </c>
      <c r="L3" s="133" t="s">
        <v>38</v>
      </c>
      <c r="M3" s="117">
        <v>2650</v>
      </c>
      <c r="N3" s="132" t="s">
        <v>28</v>
      </c>
    </row>
    <row r="4" spans="2:18" ht="18.75" customHeight="1" thickBot="1" x14ac:dyDescent="0.4">
      <c r="B4" s="335"/>
      <c r="C4" s="336"/>
      <c r="D4" s="336"/>
      <c r="E4" s="337"/>
      <c r="F4" s="120"/>
      <c r="G4" s="196"/>
      <c r="H4" s="197"/>
      <c r="I4" s="265" t="s">
        <v>27</v>
      </c>
      <c r="J4" s="266">
        <f>Calculations!R111</f>
        <v>17.017600723311965</v>
      </c>
      <c r="K4" s="116" t="s">
        <v>11</v>
      </c>
      <c r="L4" s="265" t="s">
        <v>36</v>
      </c>
      <c r="M4" s="266">
        <f>Calculations!AG111*M2/100</f>
        <v>0.51913800797095055</v>
      </c>
      <c r="N4" s="116" t="s">
        <v>11</v>
      </c>
    </row>
    <row r="5" spans="2:18" ht="24.75" thickBot="1" x14ac:dyDescent="0.25">
      <c r="B5" s="206" t="s">
        <v>1</v>
      </c>
      <c r="C5" s="267">
        <v>50</v>
      </c>
      <c r="D5" s="268">
        <f>Calculations!B111</f>
        <v>4.1006065711557627</v>
      </c>
      <c r="E5" s="207" t="s">
        <v>10</v>
      </c>
      <c r="P5" s="203"/>
      <c r="Q5" s="204" t="s">
        <v>60</v>
      </c>
      <c r="R5" s="205"/>
    </row>
    <row r="6" spans="2:18" ht="21" customHeight="1" thickBot="1" x14ac:dyDescent="0.25">
      <c r="B6" s="209" t="s">
        <v>26</v>
      </c>
      <c r="C6" s="210"/>
      <c r="D6" s="269">
        <f>Calculations!J111/rs*1000</f>
        <v>0.423154543182655</v>
      </c>
      <c r="E6" s="211" t="s">
        <v>29</v>
      </c>
      <c r="P6" s="181" t="s">
        <v>85</v>
      </c>
      <c r="Q6" s="280">
        <v>20.5</v>
      </c>
      <c r="R6" s="182" t="s">
        <v>86</v>
      </c>
    </row>
    <row r="7" spans="2:18" ht="21" customHeight="1" thickBot="1" x14ac:dyDescent="0.25">
      <c r="B7" s="338" t="s">
        <v>67</v>
      </c>
      <c r="C7" s="303" t="s">
        <v>139</v>
      </c>
      <c r="D7" s="301">
        <f>Calculations!D2</f>
        <v>2.0213390951898176</v>
      </c>
      <c r="E7" s="302"/>
      <c r="F7" s="123"/>
      <c r="G7" s="122"/>
      <c r="H7" s="122"/>
      <c r="P7" s="183" t="s">
        <v>53</v>
      </c>
      <c r="Q7" s="281">
        <f>0.0226*EXP(570/(T+271.15-140))+0.021</f>
        <v>0.99032960482252519</v>
      </c>
      <c r="R7" s="184" t="s">
        <v>54</v>
      </c>
    </row>
    <row r="8" spans="2:18" ht="14.85" customHeight="1" x14ac:dyDescent="0.2">
      <c r="B8" s="339"/>
      <c r="C8" s="213" t="s">
        <v>16</v>
      </c>
      <c r="D8" s="191" t="s">
        <v>33</v>
      </c>
      <c r="E8" s="313"/>
      <c r="F8" s="126"/>
      <c r="P8" s="183" t="s">
        <v>52</v>
      </c>
      <c r="Q8" s="282">
        <f>0.00001644*T^3-0.006042*T^2+0.02478*T+999.9499</f>
        <v>998.06037215499998</v>
      </c>
      <c r="R8" s="184" t="s">
        <v>28</v>
      </c>
    </row>
    <row r="9" spans="2:18" ht="15" customHeight="1" x14ac:dyDescent="0.2">
      <c r="B9" s="339"/>
      <c r="C9" s="214" t="s">
        <v>31</v>
      </c>
      <c r="D9" s="192" t="s">
        <v>32</v>
      </c>
      <c r="E9" s="314"/>
      <c r="F9" s="127"/>
      <c r="G9" s="122"/>
      <c r="H9" s="122"/>
      <c r="I9" s="111"/>
      <c r="J9" s="118"/>
      <c r="K9" s="112"/>
      <c r="P9" s="183" t="s">
        <v>75</v>
      </c>
      <c r="Q9" s="253">
        <v>2.5</v>
      </c>
      <c r="R9" s="184" t="s">
        <v>76</v>
      </c>
    </row>
    <row r="10" spans="2:18" ht="15" customHeight="1" x14ac:dyDescent="0.2">
      <c r="B10" s="339"/>
      <c r="C10" s="270">
        <v>0.1</v>
      </c>
      <c r="D10" s="311">
        <v>4.2178545661123111E-6</v>
      </c>
      <c r="E10" s="310"/>
      <c r="F10" s="127"/>
      <c r="I10" s="125"/>
      <c r="J10" s="125"/>
      <c r="K10" s="125"/>
      <c r="L10" s="113"/>
      <c r="M10" s="114"/>
      <c r="N10" s="119"/>
      <c r="P10" s="185" t="s">
        <v>142</v>
      </c>
      <c r="Q10" s="186">
        <v>0.1</v>
      </c>
      <c r="R10" s="208" t="s">
        <v>56</v>
      </c>
    </row>
    <row r="11" spans="2:18" ht="15" customHeight="1" thickBot="1" x14ac:dyDescent="0.25">
      <c r="B11" s="339"/>
      <c r="C11" s="270">
        <v>0.20553827970585661</v>
      </c>
      <c r="D11" s="311">
        <v>7.867306237741953E-4</v>
      </c>
      <c r="E11" s="310"/>
      <c r="F11" s="127"/>
      <c r="L11" s="121"/>
      <c r="M11" s="121"/>
      <c r="P11" s="189" t="s">
        <v>143</v>
      </c>
      <c r="Q11" s="190">
        <v>0.22</v>
      </c>
      <c r="R11" s="212" t="s">
        <v>56</v>
      </c>
    </row>
    <row r="12" spans="2:18" ht="15" customHeight="1" thickBot="1" x14ac:dyDescent="0.25">
      <c r="B12" s="339"/>
      <c r="C12" s="270">
        <v>0.26241358586103425</v>
      </c>
      <c r="D12" s="311">
        <v>3.6588958514231955E-3</v>
      </c>
      <c r="E12" s="310"/>
      <c r="F12" s="127"/>
      <c r="L12" s="121"/>
      <c r="M12" s="121"/>
    </row>
    <row r="13" spans="2:18" ht="15" customHeight="1" thickBot="1" x14ac:dyDescent="0.25">
      <c r="B13" s="339"/>
      <c r="C13" s="270">
        <v>0.32221488789498498</v>
      </c>
      <c r="D13" s="311">
        <v>1.2149895734768615E-2</v>
      </c>
      <c r="E13" s="310"/>
      <c r="F13" s="127"/>
      <c r="L13" s="121"/>
      <c r="M13" s="121"/>
      <c r="P13" s="215" t="s">
        <v>64</v>
      </c>
      <c r="Q13" s="219"/>
      <c r="R13" s="217"/>
    </row>
    <row r="14" spans="2:18" ht="15" customHeight="1" x14ac:dyDescent="0.2">
      <c r="B14" s="339"/>
      <c r="C14" s="270">
        <v>0.385092716019524</v>
      </c>
      <c r="D14" s="311">
        <v>3.2203133383978851E-2</v>
      </c>
      <c r="E14" s="310"/>
      <c r="F14" s="127"/>
      <c r="L14" s="121"/>
      <c r="M14" s="121"/>
      <c r="P14" s="218" t="s">
        <v>62</v>
      </c>
      <c r="Q14" s="195">
        <f>h*18*n/1000/(rcs-rm)/9.81*((SQRT(M3/1000))/0.000006422)^2/3600/24</f>
        <v>8.1805144718486392E-2</v>
      </c>
      <c r="R14" s="278" t="s">
        <v>57</v>
      </c>
    </row>
    <row r="15" spans="2:18" ht="15" customHeight="1" x14ac:dyDescent="0.2">
      <c r="B15" s="339"/>
      <c r="C15" s="270">
        <v>0.45120534459430817</v>
      </c>
      <c r="D15" s="311">
        <v>7.2685774960237121E-2</v>
      </c>
      <c r="E15" s="310"/>
      <c r="F15" s="127"/>
      <c r="L15" s="121"/>
      <c r="M15" s="121"/>
      <c r="P15" s="199" t="s">
        <v>148</v>
      </c>
      <c r="Q15" s="315">
        <v>0.224</v>
      </c>
      <c r="R15" s="279" t="s">
        <v>76</v>
      </c>
    </row>
    <row r="16" spans="2:18" ht="15" customHeight="1" x14ac:dyDescent="0.2">
      <c r="B16" s="339"/>
      <c r="C16" s="270">
        <v>0.52071919053075166</v>
      </c>
      <c r="D16" s="311">
        <v>0.14551996634625147</v>
      </c>
      <c r="E16" s="310"/>
      <c r="F16" s="127"/>
      <c r="L16" s="121"/>
      <c r="M16" s="121"/>
      <c r="P16" s="199" t="s">
        <v>128</v>
      </c>
      <c r="Q16" s="194">
        <v>15</v>
      </c>
      <c r="R16" s="279" t="s">
        <v>11</v>
      </c>
    </row>
    <row r="17" spans="2:18" ht="15" customHeight="1" thickBot="1" x14ac:dyDescent="0.25">
      <c r="B17" s="339"/>
      <c r="C17" s="270">
        <v>0.59380923219215076</v>
      </c>
      <c r="D17" s="311">
        <v>0.265539257177274</v>
      </c>
      <c r="E17" s="310"/>
      <c r="F17" s="127"/>
      <c r="L17" s="121"/>
      <c r="M17" s="121"/>
      <c r="P17" s="200" t="s">
        <v>63</v>
      </c>
      <c r="Q17" s="252">
        <f>Q15/Q9*HH/h*Q16</f>
        <v>2.9567999999999999</v>
      </c>
      <c r="R17" s="198" t="s">
        <v>11</v>
      </c>
    </row>
    <row r="18" spans="2:18" ht="15" customHeight="1" x14ac:dyDescent="0.2">
      <c r="B18" s="339"/>
      <c r="C18" s="270">
        <v>0.67065944984446435</v>
      </c>
      <c r="D18" s="311">
        <v>0.45010862084684017</v>
      </c>
      <c r="E18" s="310"/>
      <c r="F18" s="127"/>
      <c r="L18" s="121"/>
      <c r="M18" s="121"/>
    </row>
    <row r="19" spans="2:18" ht="15" customHeight="1" x14ac:dyDescent="0.2">
      <c r="B19" s="339"/>
      <c r="C19" s="270">
        <v>0.75146328876643709</v>
      </c>
      <c r="D19" s="311">
        <v>0.71855859313815984</v>
      </c>
      <c r="E19" s="310"/>
      <c r="F19" s="127"/>
      <c r="L19" s="121"/>
      <c r="M19" s="121"/>
      <c r="Q19" s="283" t="s">
        <v>87</v>
      </c>
    </row>
    <row r="20" spans="2:18" ht="15" customHeight="1" x14ac:dyDescent="0.2">
      <c r="B20" s="339"/>
      <c r="C20" s="270">
        <v>0.83642414618479644</v>
      </c>
      <c r="D20" s="311">
        <v>1.0914872149009542</v>
      </c>
      <c r="E20" s="310"/>
      <c r="F20" s="127"/>
      <c r="L20" s="121"/>
      <c r="M20" s="121"/>
    </row>
    <row r="21" spans="2:18" ht="15" customHeight="1" x14ac:dyDescent="0.2">
      <c r="B21" s="339"/>
      <c r="C21" s="270">
        <v>0.92575588326022318</v>
      </c>
      <c r="D21" s="311">
        <v>1.5899817910373093</v>
      </c>
      <c r="E21" s="310"/>
      <c r="F21" s="127"/>
      <c r="L21" s="121"/>
      <c r="M21" s="121"/>
    </row>
    <row r="22" spans="2:18" ht="15" customHeight="1" x14ac:dyDescent="0.2">
      <c r="B22" s="339"/>
      <c r="C22" s="270">
        <v>1.019683363412851</v>
      </c>
      <c r="D22" s="311">
        <v>2.2348082777695955</v>
      </c>
      <c r="E22" s="310"/>
      <c r="F22" s="127"/>
      <c r="L22" s="121"/>
      <c r="M22" s="121"/>
    </row>
    <row r="23" spans="2:18" ht="15" customHeight="1" x14ac:dyDescent="0.2">
      <c r="B23" s="339"/>
      <c r="C23" s="270">
        <v>1.1184430183423544</v>
      </c>
      <c r="D23" s="311">
        <v>3.0456106324129397</v>
      </c>
      <c r="E23" s="310"/>
      <c r="F23" s="127"/>
      <c r="L23" s="121"/>
      <c r="M23" s="121"/>
    </row>
    <row r="24" spans="2:18" ht="15" customHeight="1" x14ac:dyDescent="0.2">
      <c r="B24" s="339"/>
      <c r="C24" s="270">
        <v>1.2222834431673961</v>
      </c>
      <c r="D24" s="311">
        <v>4.0401563750952514</v>
      </c>
      <c r="E24" s="310"/>
      <c r="F24" s="127"/>
      <c r="L24" s="121"/>
      <c r="M24" s="121"/>
    </row>
    <row r="25" spans="2:18" ht="15" customHeight="1" x14ac:dyDescent="0.2">
      <c r="B25" s="339"/>
      <c r="C25" s="270">
        <v>1.3314660221825032</v>
      </c>
      <c r="D25" s="311">
        <v>5.233658286741977</v>
      </c>
      <c r="E25" s="310"/>
      <c r="F25" s="127"/>
      <c r="L25" s="121"/>
      <c r="M25" s="121"/>
      <c r="P25" s="131" t="s">
        <v>99</v>
      </c>
    </row>
    <row r="26" spans="2:18" ht="15" customHeight="1" thickBot="1" x14ac:dyDescent="0.25">
      <c r="B26" s="339"/>
      <c r="C26" s="270">
        <v>1.4462655868075056</v>
      </c>
      <c r="D26" s="311">
        <v>6.6381958164096728</v>
      </c>
      <c r="E26" s="310"/>
      <c r="F26" s="127"/>
      <c r="L26" s="121"/>
      <c r="M26" s="121"/>
      <c r="P26" s="124" t="s">
        <v>96</v>
      </c>
    </row>
    <row r="27" spans="2:18" ht="15" customHeight="1" x14ac:dyDescent="0.2">
      <c r="B27" s="339"/>
      <c r="C27" s="270">
        <v>1.5669711073857155</v>
      </c>
      <c r="D27" s="311">
        <v>8.2622535356609248</v>
      </c>
      <c r="E27" s="310"/>
      <c r="F27" s="261" t="s">
        <v>77</v>
      </c>
      <c r="G27" s="234"/>
      <c r="H27" s="308"/>
      <c r="I27" s="235" t="s">
        <v>68</v>
      </c>
      <c r="J27" s="236"/>
      <c r="K27" s="236"/>
      <c r="L27" s="236"/>
      <c r="M27" s="236"/>
      <c r="N27" s="237"/>
      <c r="P27" s="124" t="s">
        <v>101</v>
      </c>
    </row>
    <row r="28" spans="2:18" ht="15" customHeight="1" x14ac:dyDescent="0.2">
      <c r="B28" s="339"/>
      <c r="C28" s="270">
        <v>1.6938864205722219</v>
      </c>
      <c r="D28" s="311">
        <v>10.110387968237992</v>
      </c>
      <c r="E28" s="310"/>
      <c r="F28" s="262" t="s">
        <v>78</v>
      </c>
      <c r="G28" s="271"/>
      <c r="H28" s="272"/>
      <c r="I28" s="238" t="s">
        <v>70</v>
      </c>
      <c r="J28" s="271"/>
      <c r="K28" s="271"/>
      <c r="L28" s="271"/>
      <c r="M28" s="271"/>
      <c r="N28" s="272"/>
      <c r="P28" s="124" t="s">
        <v>100</v>
      </c>
    </row>
    <row r="29" spans="2:18" ht="15" customHeight="1" thickBot="1" x14ac:dyDescent="0.25">
      <c r="B29" s="339"/>
      <c r="C29" s="270">
        <v>1.8273309941432561</v>
      </c>
      <c r="D29" s="311">
        <v>12.183028436744371</v>
      </c>
      <c r="E29" s="310"/>
      <c r="F29" s="263"/>
      <c r="G29" s="239"/>
      <c r="H29" s="309"/>
      <c r="I29" s="240"/>
      <c r="J29" s="241"/>
      <c r="K29" s="241"/>
      <c r="L29" s="241"/>
      <c r="M29" s="241"/>
      <c r="N29" s="242"/>
      <c r="P29" s="124" t="s">
        <v>154</v>
      </c>
    </row>
    <row r="30" spans="2:18" ht="15" customHeight="1" thickBot="1" x14ac:dyDescent="0.25">
      <c r="B30" s="339"/>
      <c r="C30" s="270">
        <v>1.9676407311517963</v>
      </c>
      <c r="D30" s="311">
        <v>14.476412294996008</v>
      </c>
      <c r="E30" s="310"/>
      <c r="F30" s="244" t="s">
        <v>88</v>
      </c>
      <c r="G30" s="243"/>
      <c r="H30" s="245"/>
      <c r="I30" s="244" t="s">
        <v>71</v>
      </c>
      <c r="J30" s="243"/>
      <c r="K30" s="243"/>
      <c r="L30" s="243"/>
      <c r="M30" s="243"/>
      <c r="N30" s="245"/>
    </row>
    <row r="31" spans="2:18" ht="15" customHeight="1" thickBot="1" x14ac:dyDescent="0.25">
      <c r="B31" s="339"/>
      <c r="C31" s="270">
        <v>2.1151688154535995</v>
      </c>
      <c r="D31" s="311">
        <v>16.982650140160022</v>
      </c>
      <c r="E31" s="310"/>
      <c r="F31" s="246" t="s">
        <v>79</v>
      </c>
      <c r="G31" s="271"/>
      <c r="H31" s="272"/>
      <c r="I31" s="246" t="s">
        <v>89</v>
      </c>
      <c r="J31" s="271"/>
      <c r="K31" s="271"/>
      <c r="L31" s="271"/>
      <c r="M31" s="271"/>
      <c r="N31" s="272"/>
      <c r="P31" s="215" t="s">
        <v>102</v>
      </c>
      <c r="Q31" s="216"/>
      <c r="R31" s="217"/>
    </row>
    <row r="32" spans="2:18" ht="15" customHeight="1" thickBot="1" x14ac:dyDescent="0.25">
      <c r="B32" s="339"/>
      <c r="C32" s="270">
        <v>2.2702866007320024</v>
      </c>
      <c r="D32" s="311">
        <v>19.689912399863228</v>
      </c>
      <c r="E32" s="310"/>
      <c r="F32" s="248"/>
      <c r="G32" s="247"/>
      <c r="H32" s="249"/>
      <c r="I32" s="248" t="s">
        <v>69</v>
      </c>
      <c r="J32" s="247"/>
      <c r="K32" s="247"/>
      <c r="L32" s="247"/>
      <c r="M32" s="247"/>
      <c r="N32" s="249"/>
      <c r="P32" s="218" t="s">
        <v>61</v>
      </c>
      <c r="Q32" s="195">
        <f>h*18*n/1000/((rs-rm)*9.81)*((SQRT(rs/1000))/0.000006422)^2/3600/24</f>
        <v>6.5956103233847832E-2</v>
      </c>
      <c r="R32" s="278" t="s">
        <v>57</v>
      </c>
    </row>
    <row r="33" spans="2:18" ht="15" customHeight="1" x14ac:dyDescent="0.2">
      <c r="B33" s="339"/>
      <c r="C33" s="270">
        <v>2.4333845452593175</v>
      </c>
      <c r="D33" s="311">
        <v>22.582725131866287</v>
      </c>
      <c r="E33" s="310"/>
      <c r="F33" s="255" t="s">
        <v>80</v>
      </c>
      <c r="G33" s="254"/>
      <c r="H33" s="256"/>
      <c r="I33" s="255" t="s">
        <v>83</v>
      </c>
      <c r="J33" s="254"/>
      <c r="K33" s="254"/>
      <c r="L33" s="254"/>
      <c r="M33" s="254"/>
      <c r="N33" s="256"/>
      <c r="P33" s="199" t="s">
        <v>148</v>
      </c>
      <c r="Q33" s="315">
        <v>0.192</v>
      </c>
      <c r="R33" s="279" t="s">
        <v>76</v>
      </c>
    </row>
    <row r="34" spans="2:18" ht="15" customHeight="1" x14ac:dyDescent="0.3">
      <c r="B34" s="339"/>
      <c r="C34" s="270">
        <v>2.6048731947477859</v>
      </c>
      <c r="D34" s="311">
        <v>25.642360008451369</v>
      </c>
      <c r="E34" s="310"/>
      <c r="F34" s="257" t="s">
        <v>82</v>
      </c>
      <c r="G34" s="273"/>
      <c r="H34" s="274"/>
      <c r="I34" s="257" t="s">
        <v>84</v>
      </c>
      <c r="J34" s="273"/>
      <c r="K34" s="273"/>
      <c r="L34" s="273"/>
      <c r="M34" s="273"/>
      <c r="N34" s="274"/>
      <c r="P34" s="304" t="s">
        <v>94</v>
      </c>
      <c r="Q34" s="305">
        <f>Q33/Q9*HH/h*100</f>
        <v>16.896000000000001</v>
      </c>
      <c r="R34" s="277" t="s">
        <v>11</v>
      </c>
    </row>
    <row r="35" spans="2:18" ht="15" customHeight="1" thickBot="1" x14ac:dyDescent="0.25">
      <c r="B35" s="339"/>
      <c r="C35" s="270">
        <v>2.785184215764076</v>
      </c>
      <c r="D35" s="311">
        <v>28.847301317110812</v>
      </c>
      <c r="E35" s="310"/>
      <c r="F35" s="259" t="s">
        <v>81</v>
      </c>
      <c r="G35" s="258"/>
      <c r="H35" s="260"/>
      <c r="I35" s="259" t="s">
        <v>81</v>
      </c>
      <c r="J35" s="258"/>
      <c r="K35" s="258"/>
      <c r="L35" s="258"/>
      <c r="M35" s="258"/>
      <c r="N35" s="260"/>
      <c r="P35" s="327" t="s">
        <v>95</v>
      </c>
      <c r="Q35" s="328">
        <f>Calculations!AS111</f>
        <v>17.098851031332003</v>
      </c>
      <c r="R35" s="276" t="s">
        <v>11</v>
      </c>
    </row>
    <row r="36" spans="2:18" ht="15" customHeight="1" x14ac:dyDescent="0.2">
      <c r="B36" s="339"/>
      <c r="C36" s="270">
        <v>2.9747714823086375</v>
      </c>
      <c r="D36" s="311">
        <v>32.173771405923603</v>
      </c>
      <c r="E36" s="310"/>
    </row>
    <row r="37" spans="2:18" ht="15" customHeight="1" x14ac:dyDescent="0.2">
      <c r="B37" s="339"/>
      <c r="C37" s="270">
        <v>3.1741122182949932</v>
      </c>
      <c r="D37" s="311">
        <v>35.596295327168946</v>
      </c>
      <c r="E37" s="310"/>
      <c r="F37" s="129" t="s">
        <v>35</v>
      </c>
    </row>
    <row r="38" spans="2:18" ht="15" customHeight="1" x14ac:dyDescent="0.2">
      <c r="B38" s="339"/>
      <c r="C38" s="270">
        <v>3.3837081988048028</v>
      </c>
      <c r="D38" s="311">
        <v>39.088285455715564</v>
      </c>
      <c r="E38" s="310"/>
      <c r="F38" s="130" t="s">
        <v>37</v>
      </c>
    </row>
    <row r="39" spans="2:18" ht="15" customHeight="1" x14ac:dyDescent="0.2">
      <c r="B39" s="339"/>
      <c r="C39" s="270">
        <v>3.6040870131424581</v>
      </c>
      <c r="D39" s="311">
        <v>42.622627528486987</v>
      </c>
      <c r="E39" s="310"/>
      <c r="F39" s="131" t="s">
        <v>98</v>
      </c>
    </row>
    <row r="40" spans="2:18" ht="15" customHeight="1" x14ac:dyDescent="0.2">
      <c r="B40" s="339"/>
      <c r="C40" s="270">
        <v>3.8358033928685358</v>
      </c>
      <c r="D40" s="311">
        <v>46.172250798313719</v>
      </c>
      <c r="E40" s="310"/>
      <c r="F40" s="131" t="s">
        <v>129</v>
      </c>
    </row>
    <row r="41" spans="2:18" ht="15" customHeight="1" x14ac:dyDescent="0.2">
      <c r="B41" s="339"/>
      <c r="C41" s="270">
        <v>4.0794406081550028</v>
      </c>
      <c r="D41" s="311">
        <v>49.710666734670497</v>
      </c>
      <c r="E41" s="310"/>
    </row>
    <row r="42" spans="2:18" ht="15" customHeight="1" x14ac:dyDescent="0.2">
      <c r="B42" s="339"/>
      <c r="C42" s="270">
        <v>4.33561193597704</v>
      </c>
      <c r="D42" s="311">
        <v>53.212462838154309</v>
      </c>
      <c r="E42" s="310"/>
      <c r="F42" s="127"/>
      <c r="L42" s="121"/>
      <c r="M42" s="121"/>
    </row>
    <row r="43" spans="2:18" ht="15" customHeight="1" x14ac:dyDescent="0.2">
      <c r="B43" s="339"/>
      <c r="C43" s="270">
        <v>4.604962203837168</v>
      </c>
      <c r="D43" s="311">
        <v>56.6537405602514</v>
      </c>
      <c r="E43" s="310"/>
      <c r="F43" s="127"/>
      <c r="L43" s="121"/>
      <c r="M43" s="121"/>
    </row>
    <row r="44" spans="2:18" x14ac:dyDescent="0.2">
      <c r="B44" s="339"/>
      <c r="C44" s="270">
        <v>4.8881694129075051</v>
      </c>
      <c r="D44" s="311">
        <v>60.012488926651777</v>
      </c>
      <c r="E44" s="310"/>
    </row>
    <row r="45" spans="2:18" x14ac:dyDescent="0.2">
      <c r="B45" s="339"/>
      <c r="C45" s="270">
        <v>5.1859464446759027</v>
      </c>
      <c r="D45" s="311">
        <v>63.268888143674729</v>
      </c>
      <c r="E45" s="310"/>
    </row>
    <row r="46" spans="2:18" x14ac:dyDescent="0.2">
      <c r="B46" s="339"/>
      <c r="C46" s="270">
        <v>5.4990428553918234</v>
      </c>
      <c r="D46" s="311">
        <v>66.405540120907816</v>
      </c>
      <c r="E46" s="310"/>
    </row>
    <row r="47" spans="2:18" x14ac:dyDescent="0.2">
      <c r="B47" s="339"/>
      <c r="C47" s="270">
        <v>5.8282467628289734</v>
      </c>
      <c r="D47" s="311">
        <v>69.407625375397686</v>
      </c>
      <c r="E47" s="310"/>
    </row>
    <row r="48" spans="2:18" x14ac:dyDescent="0.2">
      <c r="B48" s="339"/>
      <c r="C48" s="270">
        <v>6.1743868301139306</v>
      </c>
      <c r="D48" s="311">
        <v>72.262988112125456</v>
      </c>
      <c r="E48" s="310"/>
    </row>
    <row r="49" spans="2:5" x14ac:dyDescent="0.2">
      <c r="B49" s="339"/>
      <c r="C49" s="270">
        <v>6.5383343516144414</v>
      </c>
      <c r="D49" s="311">
        <v>74.962153335000195</v>
      </c>
      <c r="E49" s="310"/>
    </row>
    <row r="50" spans="2:5" x14ac:dyDescent="0.2">
      <c r="B50" s="339"/>
      <c r="C50" s="270">
        <v>6.9210054461379213</v>
      </c>
      <c r="D50" s="311">
        <v>77.498281581301882</v>
      </c>
      <c r="E50" s="310"/>
    </row>
    <row r="51" spans="2:5" x14ac:dyDescent="0.2">
      <c r="B51" s="339"/>
      <c r="C51" s="270">
        <v>7.3233633629608068</v>
      </c>
      <c r="D51" s="311">
        <v>79.867068256488594</v>
      </c>
      <c r="E51" s="310"/>
    </row>
    <row r="52" spans="2:5" x14ac:dyDescent="0.2">
      <c r="B52" s="339"/>
      <c r="C52" s="270">
        <v>7.746420906493455</v>
      </c>
      <c r="D52" s="311">
        <v>82.066595558651684</v>
      </c>
      <c r="E52" s="310"/>
    </row>
    <row r="53" spans="2:5" x14ac:dyDescent="0.2">
      <c r="B53" s="339"/>
      <c r="C53" s="270">
        <v>8.1912429856838607</v>
      </c>
      <c r="D53" s="311">
        <v>84.097145622005925</v>
      </c>
      <c r="E53" s="310"/>
    </row>
    <row r="54" spans="2:5" x14ac:dyDescent="0.2">
      <c r="B54" s="339"/>
      <c r="C54" s="270">
        <v>8.6589492945775302</v>
      </c>
      <c r="D54" s="311">
        <v>85.96098379081765</v>
      </c>
      <c r="E54" s="310"/>
    </row>
    <row r="55" spans="2:5" x14ac:dyDescent="0.2">
      <c r="B55" s="339"/>
      <c r="C55" s="270">
        <v>9.1507171307808726</v>
      </c>
      <c r="D55" s="311">
        <v>87.662120886102059</v>
      </c>
      <c r="E55" s="310"/>
    </row>
    <row r="56" spans="2:5" x14ac:dyDescent="0.2">
      <c r="B56" s="339"/>
      <c r="C56" s="270">
        <v>9.6677843589227521</v>
      </c>
      <c r="D56" s="311">
        <v>89.206062984695805</v>
      </c>
      <c r="E56" s="310"/>
    </row>
    <row r="57" spans="2:5" x14ac:dyDescent="0.2">
      <c r="B57" s="339"/>
      <c r="C57" s="270">
        <v>10.211452526573668</v>
      </c>
      <c r="D57" s="311">
        <v>90.599556639124927</v>
      </c>
      <c r="E57" s="310"/>
    </row>
    <row r="58" spans="2:5" x14ac:dyDescent="0.2">
      <c r="B58" s="339"/>
      <c r="C58" s="270">
        <v>10.783090140465921</v>
      </c>
      <c r="D58" s="311">
        <v>91.850336677237792</v>
      </c>
      <c r="E58" s="310"/>
    </row>
    <row r="59" spans="2:5" x14ac:dyDescent="0.2">
      <c r="B59" s="339"/>
      <c r="C59" s="270">
        <v>11.384136111261549</v>
      </c>
      <c r="D59" s="311">
        <v>92.966882785338441</v>
      </c>
      <c r="E59" s="310"/>
    </row>
    <row r="60" spans="2:5" x14ac:dyDescent="0.2">
      <c r="B60" s="339"/>
      <c r="C60" s="270">
        <v>12.016103375539148</v>
      </c>
      <c r="D60" s="311">
        <v>93.95819004976012</v>
      </c>
      <c r="E60" s="310"/>
    </row>
    <row r="61" spans="2:5" x14ac:dyDescent="0.2">
      <c r="B61" s="339"/>
      <c r="C61" s="270">
        <v>12.680582704116688</v>
      </c>
      <c r="D61" s="311">
        <v>94.833557559184456</v>
      </c>
      <c r="E61" s="310"/>
    </row>
    <row r="62" spans="2:5" x14ac:dyDescent="0.2">
      <c r="B62" s="339"/>
      <c r="C62" s="270">
        <v>13.379246706296559</v>
      </c>
      <c r="D62" s="311">
        <v>95.602398098876421</v>
      </c>
      <c r="E62" s="310"/>
    </row>
    <row r="63" spans="2:5" x14ac:dyDescent="0.2">
      <c r="B63" s="339"/>
      <c r="C63" s="270">
        <v>14.113854040112276</v>
      </c>
      <c r="D63" s="311">
        <v>96.274070937877028</v>
      </c>
      <c r="E63" s="310"/>
    </row>
    <row r="64" spans="2:5" x14ac:dyDescent="0.2">
      <c r="B64" s="339"/>
      <c r="C64" s="270">
        <v>14.886253839174621</v>
      </c>
      <c r="D64" s="311">
        <v>96.857738753749842</v>
      </c>
      <c r="E64" s="310"/>
    </row>
    <row r="65" spans="2:5" x14ac:dyDescent="0.2">
      <c r="B65" s="339"/>
      <c r="C65" s="270">
        <v>15.698390367260549</v>
      </c>
      <c r="D65" s="311">
        <v>97.362248882010022</v>
      </c>
      <c r="E65" s="310"/>
    </row>
    <row r="66" spans="2:5" x14ac:dyDescent="0.2">
      <c r="B66" s="339"/>
      <c r="C66" s="270">
        <v>16.552307912361083</v>
      </c>
      <c r="D66" s="311">
        <v>97.796038336658583</v>
      </c>
      <c r="E66" s="310"/>
    </row>
    <row r="67" spans="2:5" x14ac:dyDescent="0.2">
      <c r="B67" s="339"/>
      <c r="C67" s="270">
        <v>17.450155932507485</v>
      </c>
      <c r="D67" s="311">
        <v>98.167061434826891</v>
      </c>
      <c r="E67" s="310"/>
    </row>
    <row r="68" spans="2:5" x14ac:dyDescent="0.2">
      <c r="B68" s="339"/>
      <c r="C68" s="270">
        <v>18.394194466328578</v>
      </c>
      <c r="D68" s="311">
        <v>98.482738376222983</v>
      </c>
      <c r="E68" s="310"/>
    </row>
    <row r="69" spans="2:5" x14ac:dyDescent="0.2">
      <c r="B69" s="339"/>
      <c r="C69" s="270">
        <v>19.386799821958551</v>
      </c>
      <c r="D69" s="311">
        <v>98.749922774787294</v>
      </c>
      <c r="E69" s="310"/>
    </row>
    <row r="70" spans="2:5" x14ac:dyDescent="0.2">
      <c r="B70" s="339"/>
      <c r="C70" s="270">
        <v>20.430470558615159</v>
      </c>
      <c r="D70" s="311">
        <v>98.974885908696635</v>
      </c>
      <c r="E70" s="310"/>
    </row>
    <row r="71" spans="2:5" x14ac:dyDescent="0.2">
      <c r="B71" s="339"/>
      <c r="C71" s="270">
        <v>21.52783377590514</v>
      </c>
      <c r="D71" s="311">
        <v>99.163315334726747</v>
      </c>
      <c r="E71" s="310"/>
    </row>
    <row r="72" spans="2:5" x14ac:dyDescent="0.2">
      <c r="B72" s="339"/>
      <c r="C72" s="270">
        <v>22.681651726687832</v>
      </c>
      <c r="D72" s="311">
        <v>99.320325490332436</v>
      </c>
      <c r="E72" s="310"/>
    </row>
    <row r="73" spans="2:5" x14ac:dyDescent="0.2">
      <c r="B73" s="339"/>
      <c r="C73" s="270">
        <v>23.894828770143068</v>
      </c>
      <c r="D73" s="311">
        <v>99.450477966241095</v>
      </c>
      <c r="E73" s="310"/>
    </row>
    <row r="74" spans="2:5" x14ac:dyDescent="0.2">
      <c r="B74" s="339"/>
      <c r="C74" s="270">
        <v>25.170418682545115</v>
      </c>
      <c r="D74" s="311">
        <v>99.557809257725992</v>
      </c>
      <c r="E74" s="310"/>
    </row>
    <row r="75" spans="2:5" x14ac:dyDescent="0.2">
      <c r="B75" s="339"/>
      <c r="C75" s="270">
        <v>26.511632344145255</v>
      </c>
      <c r="D75" s="311">
        <v>99.645863977956381</v>
      </c>
      <c r="E75" s="310"/>
    </row>
    <row r="76" spans="2:5" x14ac:dyDescent="0.2">
      <c r="B76" s="339"/>
      <c r="C76" s="270">
        <v>27.92184582151236</v>
      </c>
      <c r="D76" s="311">
        <v>99.717731726622233</v>
      </c>
      <c r="E76" s="310"/>
    </row>
    <row r="77" spans="2:5" x14ac:dyDescent="0.2">
      <c r="B77" s="339"/>
      <c r="C77" s="270">
        <v>29.404608865675772</v>
      </c>
      <c r="D77" s="311">
        <v>99.776086037434325</v>
      </c>
      <c r="E77" s="310"/>
    </row>
    <row r="78" spans="2:5" x14ac:dyDescent="0.2">
      <c r="B78" s="339"/>
      <c r="C78" s="270">
        <v>30.963653847462183</v>
      </c>
      <c r="D78" s="311">
        <v>99.823224066846393</v>
      </c>
      <c r="E78" s="310"/>
    </row>
    <row r="79" spans="2:5" x14ac:dyDescent="0.2">
      <c r="B79" s="339"/>
      <c r="C79" s="270">
        <v>32.602905152518019</v>
      </c>
      <c r="D79" s="311">
        <v>99.86110592311573</v>
      </c>
      <c r="E79" s="310"/>
    </row>
    <row r="80" spans="2:5" x14ac:dyDescent="0.2">
      <c r="B80" s="339"/>
      <c r="C80" s="270">
        <v>34.326489059666251</v>
      </c>
      <c r="D80" s="311">
        <v>99.891392761328973</v>
      </c>
      <c r="E80" s="310"/>
    </row>
    <row r="81" spans="2:25" x14ac:dyDescent="0.2">
      <c r="B81" s="339"/>
      <c r="C81" s="270">
        <v>36.138744127463262</v>
      </c>
      <c r="D81" s="311">
        <v>99.915482980005493</v>
      </c>
      <c r="E81" s="310"/>
    </row>
    <row r="82" spans="2:25" x14ac:dyDescent="0.2">
      <c r="B82" s="339"/>
      <c r="C82" s="270">
        <v>38.044232115100613</v>
      </c>
      <c r="D82" s="311">
        <v>99.93454604398984</v>
      </c>
      <c r="E82" s="310"/>
    </row>
    <row r="83" spans="2:25" x14ac:dyDescent="0.2">
      <c r="B83" s="339"/>
      <c r="C83" s="270">
        <v>40.047749465141145</v>
      </c>
      <c r="D83" s="311">
        <v>99.949553623914369</v>
      </c>
      <c r="E83" s="310"/>
    </row>
    <row r="84" spans="2:25" x14ac:dyDescent="0.2">
      <c r="B84" s="339"/>
      <c r="C84" s="270">
        <v>42.154339376993896</v>
      </c>
      <c r="D84" s="311">
        <v>99.961307883405098</v>
      </c>
      <c r="E84" s="310"/>
    </row>
    <row r="85" spans="2:25" x14ac:dyDescent="0.2">
      <c r="B85" s="339"/>
      <c r="C85" s="270">
        <v>44.369304501518563</v>
      </c>
      <c r="D85" s="311">
        <v>99.970466861500014</v>
      </c>
      <c r="E85" s="310"/>
    </row>
    <row r="86" spans="2:25" x14ac:dyDescent="0.2">
      <c r="B86" s="339"/>
      <c r="C86" s="270">
        <v>46.698220288713969</v>
      </c>
      <c r="D86" s="311">
        <v>99.977566990510311</v>
      </c>
      <c r="E86" s="310"/>
    </row>
    <row r="87" spans="2:25" x14ac:dyDescent="0.2">
      <c r="B87" s="339"/>
      <c r="C87" s="270">
        <v>49.14694902208943</v>
      </c>
      <c r="D87" s="311">
        <v>99.9830428605582</v>
      </c>
      <c r="E87" s="310"/>
    </row>
    <row r="88" spans="2:25" x14ac:dyDescent="0.2">
      <c r="B88" s="339"/>
      <c r="C88" s="270">
        <v>51.721654575045257</v>
      </c>
      <c r="D88" s="311">
        <v>99.987244393532322</v>
      </c>
      <c r="E88" s="310"/>
    </row>
    <row r="89" spans="2:25" x14ac:dyDescent="0.2">
      <c r="B89" s="339"/>
      <c r="C89" s="270">
        <v>54.42881792640744</v>
      </c>
      <c r="D89" s="311">
        <v>99.99045162375549</v>
      </c>
      <c r="E89" s="310"/>
    </row>
    <row r="90" spans="2:25" x14ac:dyDescent="0.2">
      <c r="B90" s="339"/>
      <c r="C90" s="270">
        <v>57.275253474171336</v>
      </c>
      <c r="D90" s="311">
        <v>99.992887302902375</v>
      </c>
      <c r="E90" s="310"/>
    </row>
    <row r="91" spans="2:25" x14ac:dyDescent="0.2">
      <c r="B91" s="339"/>
      <c r="C91" s="270">
        <v>60.268126188519034</v>
      </c>
      <c r="D91" s="311">
        <v>99.994727555246499</v>
      </c>
      <c r="E91" s="310"/>
    </row>
    <row r="92" spans="2:25" x14ac:dyDescent="0.2">
      <c r="B92" s="339"/>
      <c r="C92" s="270">
        <v>63.414969647287528</v>
      </c>
      <c r="D92" s="311">
        <v>99.996110808619989</v>
      </c>
      <c r="E92" s="310"/>
    </row>
    <row r="93" spans="2:25" x14ac:dyDescent="0.2">
      <c r="B93" s="339"/>
      <c r="C93" s="270">
        <v>66.72370499928607</v>
      </c>
      <c r="D93" s="311">
        <v>99.997145218784084</v>
      </c>
      <c r="E93" s="310"/>
    </row>
    <row r="94" spans="2:25" x14ac:dyDescent="0.2">
      <c r="B94" s="339"/>
      <c r="C94" s="270">
        <v>70.202660903196673</v>
      </c>
      <c r="D94" s="311">
        <v>99.997914792216179</v>
      </c>
      <c r="E94" s="310"/>
      <c r="O94" s="122"/>
      <c r="Y94" s="221"/>
    </row>
    <row r="95" spans="2:25" x14ac:dyDescent="0.2">
      <c r="B95" s="339"/>
      <c r="C95" s="270">
        <v>73.860594492247102</v>
      </c>
      <c r="D95" s="311">
        <v>99.998484396315192</v>
      </c>
      <c r="E95" s="310"/>
      <c r="P95" s="220"/>
      <c r="Y95" s="221"/>
    </row>
    <row r="96" spans="2:25" x14ac:dyDescent="0.2">
      <c r="B96" s="339"/>
      <c r="C96" s="270">
        <v>77.706713417428915</v>
      </c>
      <c r="D96" s="311">
        <v>99.99890382811752</v>
      </c>
      <c r="E96" s="310"/>
      <c r="Y96" s="221"/>
    </row>
    <row r="97" spans="2:5" x14ac:dyDescent="0.2">
      <c r="B97" s="339"/>
      <c r="C97" s="270">
        <v>81.750699024745984</v>
      </c>
      <c r="D97" s="311">
        <v>99.999211093924174</v>
      </c>
      <c r="E97" s="310"/>
    </row>
    <row r="98" spans="2:5" x14ac:dyDescent="0.2">
      <c r="B98" s="339"/>
      <c r="C98" s="270">
        <v>86.002730724835615</v>
      </c>
      <c r="D98" s="311">
        <v>99.999435033635834</v>
      </c>
      <c r="E98" s="310"/>
    </row>
    <row r="99" spans="2:5" x14ac:dyDescent="0.2">
      <c r="B99" s="339"/>
      <c r="C99" s="270">
        <v>90.473511616304265</v>
      </c>
      <c r="D99" s="311">
        <v>99.99959740571289</v>
      </c>
      <c r="E99" s="310"/>
    </row>
    <row r="100" spans="2:5" x14ac:dyDescent="0.2">
      <c r="B100" s="339"/>
      <c r="C100" s="270">
        <v>95.174295427276121</v>
      </c>
      <c r="D100" s="311">
        <v>99.999714531965083</v>
      </c>
      <c r="E100" s="310"/>
    </row>
    <row r="101" spans="2:5" x14ac:dyDescent="0.2">
      <c r="B101" s="339"/>
      <c r="C101" s="270">
        <v>100.11691484297211</v>
      </c>
      <c r="D101" s="311">
        <v>99.999798586105797</v>
      </c>
      <c r="E101" s="310"/>
    </row>
    <row r="102" spans="2:5" x14ac:dyDescent="0.2">
      <c r="B102" s="339"/>
      <c r="C102" s="270">
        <v>105.31381129062308</v>
      </c>
      <c r="D102" s="311">
        <v>99.999858596326064</v>
      </c>
      <c r="E102" s="310"/>
    </row>
    <row r="103" spans="2:5" x14ac:dyDescent="0.2">
      <c r="B103" s="339"/>
      <c r="C103" s="270">
        <v>110.77806625669237</v>
      </c>
      <c r="D103" s="311">
        <v>99.999901220093406</v>
      </c>
      <c r="E103" s="310"/>
    </row>
    <row r="104" spans="2:5" x14ac:dyDescent="0.2">
      <c r="B104" s="339"/>
      <c r="C104" s="270">
        <v>116.5234342152379</v>
      </c>
      <c r="D104" s="311">
        <v>99.999931338930395</v>
      </c>
      <c r="E104" s="310"/>
    </row>
    <row r="105" spans="2:5" x14ac:dyDescent="0.2">
      <c r="B105" s="339"/>
      <c r="C105" s="270">
        <v>122.56437725030034</v>
      </c>
      <c r="D105" s="311">
        <v>99.999952511986933</v>
      </c>
      <c r="E105" s="310"/>
    </row>
    <row r="106" spans="2:5" x14ac:dyDescent="0.2">
      <c r="B106" s="339"/>
      <c r="C106" s="270">
        <v>128.91610145946791</v>
      </c>
      <c r="D106" s="311">
        <v>99.999967319671185</v>
      </c>
      <c r="E106" s="310"/>
    </row>
    <row r="107" spans="2:5" x14ac:dyDescent="0.2">
      <c r="B107" s="339"/>
      <c r="C107" s="270">
        <v>135.59459523025203</v>
      </c>
      <c r="D107" s="311">
        <v>99.999977622303277</v>
      </c>
      <c r="E107" s="310"/>
    </row>
    <row r="108" spans="2:5" x14ac:dyDescent="0.2">
      <c r="B108" s="339"/>
      <c r="C108" s="270">
        <v>142.6166694856212</v>
      </c>
      <c r="D108" s="311">
        <v>99.999984753557641</v>
      </c>
      <c r="E108" s="310"/>
    </row>
    <row r="109" spans="2:5" x14ac:dyDescent="0.2">
      <c r="B109" s="339"/>
      <c r="C109" s="270">
        <v>150.00000000000003</v>
      </c>
      <c r="D109" s="311">
        <v>99.999989664214397</v>
      </c>
      <c r="E109" s="310"/>
    </row>
    <row r="110" spans="2:5" ht="13.5" thickBot="1" x14ac:dyDescent="0.25">
      <c r="B110" s="340"/>
      <c r="C110" s="275"/>
      <c r="D110" s="312"/>
      <c r="E110" s="310"/>
    </row>
    <row r="118" spans="7:11" x14ac:dyDescent="0.2">
      <c r="I118" s="128"/>
      <c r="J118" s="128"/>
      <c r="K118" s="128"/>
    </row>
    <row r="119" spans="7:11" x14ac:dyDescent="0.2">
      <c r="I119" s="128"/>
      <c r="J119" s="128"/>
      <c r="K119" s="128"/>
    </row>
    <row r="120" spans="7:11" x14ac:dyDescent="0.2">
      <c r="I120" s="128"/>
      <c r="J120" s="128"/>
      <c r="K120" s="128"/>
    </row>
    <row r="121" spans="7:11" x14ac:dyDescent="0.2">
      <c r="I121" s="128"/>
      <c r="J121" s="128"/>
      <c r="K121" s="128"/>
    </row>
    <row r="122" spans="7:11" x14ac:dyDescent="0.2">
      <c r="I122" s="128"/>
      <c r="J122" s="128"/>
      <c r="K122" s="128"/>
    </row>
    <row r="123" spans="7:11" x14ac:dyDescent="0.2">
      <c r="I123" s="128"/>
      <c r="J123" s="128"/>
      <c r="K123" s="128"/>
    </row>
    <row r="124" spans="7:11" x14ac:dyDescent="0.2">
      <c r="I124" s="128"/>
      <c r="J124" s="128"/>
      <c r="K124" s="128"/>
    </row>
    <row r="125" spans="7:11" x14ac:dyDescent="0.2">
      <c r="I125" s="128"/>
      <c r="J125" s="128"/>
      <c r="K125" s="128"/>
    </row>
    <row r="126" spans="7:11" x14ac:dyDescent="0.2">
      <c r="G126" s="128"/>
      <c r="H126" s="128"/>
      <c r="I126" s="128"/>
      <c r="J126" s="128"/>
      <c r="K126" s="128"/>
    </row>
    <row r="127" spans="7:11" x14ac:dyDescent="0.2">
      <c r="G127" s="128"/>
      <c r="H127" s="128"/>
      <c r="I127" s="128"/>
      <c r="J127" s="128"/>
      <c r="K127" s="128"/>
    </row>
    <row r="155" spans="7:11" x14ac:dyDescent="0.2">
      <c r="G155" s="222"/>
      <c r="H155" s="222"/>
      <c r="I155" s="222"/>
      <c r="J155" s="222"/>
      <c r="K155" s="222"/>
    </row>
    <row r="156" spans="7:11" x14ac:dyDescent="0.2">
      <c r="G156" s="222"/>
      <c r="H156" s="222"/>
      <c r="I156" s="222"/>
      <c r="J156" s="222"/>
      <c r="K156" s="222"/>
    </row>
    <row r="186" spans="14:14" x14ac:dyDescent="0.2">
      <c r="N186" s="122"/>
    </row>
    <row r="187" spans="14:14" x14ac:dyDescent="0.2">
      <c r="N187" s="122"/>
    </row>
    <row r="188" spans="14:14" x14ac:dyDescent="0.2">
      <c r="N188" s="122"/>
    </row>
    <row r="189" spans="14:14" x14ac:dyDescent="0.2">
      <c r="N189" s="122"/>
    </row>
    <row r="190" spans="14:14" x14ac:dyDescent="0.2">
      <c r="N190" s="122"/>
    </row>
    <row r="191" spans="14:14" x14ac:dyDescent="0.2">
      <c r="N191" s="122"/>
    </row>
    <row r="192" spans="14:14" x14ac:dyDescent="0.2">
      <c r="N192" s="122"/>
    </row>
    <row r="193" spans="14:14" x14ac:dyDescent="0.2">
      <c r="N193" s="122"/>
    </row>
    <row r="194" spans="14:14" x14ac:dyDescent="0.2">
      <c r="N194" s="122"/>
    </row>
    <row r="195" spans="14:14" x14ac:dyDescent="0.2">
      <c r="N195" s="122"/>
    </row>
    <row r="196" spans="14:14" x14ac:dyDescent="0.2">
      <c r="N196" s="122"/>
    </row>
    <row r="197" spans="14:14" x14ac:dyDescent="0.2">
      <c r="N197" s="122"/>
    </row>
    <row r="198" spans="14:14" x14ac:dyDescent="0.2">
      <c r="N198" s="122"/>
    </row>
    <row r="199" spans="14:14" x14ac:dyDescent="0.2">
      <c r="N199" s="122"/>
    </row>
    <row r="200" spans="14:14" x14ac:dyDescent="0.2">
      <c r="N200" s="122"/>
    </row>
    <row r="201" spans="14:14" x14ac:dyDescent="0.2">
      <c r="N201" s="122"/>
    </row>
    <row r="202" spans="14:14" x14ac:dyDescent="0.2">
      <c r="N202" s="122"/>
    </row>
    <row r="203" spans="14:14" x14ac:dyDescent="0.2">
      <c r="N203" s="122"/>
    </row>
    <row r="204" spans="14:14" x14ac:dyDescent="0.2">
      <c r="N204" s="122"/>
    </row>
    <row r="205" spans="14:14" x14ac:dyDescent="0.2">
      <c r="N205" s="122"/>
    </row>
    <row r="206" spans="14:14" x14ac:dyDescent="0.2">
      <c r="N206" s="122"/>
    </row>
    <row r="207" spans="14:14" x14ac:dyDescent="0.2">
      <c r="N207" s="122"/>
    </row>
    <row r="208" spans="14:14" x14ac:dyDescent="0.2">
      <c r="N208" s="122"/>
    </row>
    <row r="209" spans="13:14" x14ac:dyDescent="0.2">
      <c r="N209" s="122"/>
    </row>
    <row r="210" spans="13:14" x14ac:dyDescent="0.2">
      <c r="N210" s="122"/>
    </row>
    <row r="211" spans="13:14" x14ac:dyDescent="0.2">
      <c r="N211" s="122"/>
    </row>
    <row r="212" spans="13:14" x14ac:dyDescent="0.2">
      <c r="N212" s="122"/>
    </row>
    <row r="213" spans="13:14" x14ac:dyDescent="0.2">
      <c r="N213" s="122"/>
    </row>
    <row r="214" spans="13:14" x14ac:dyDescent="0.2">
      <c r="N214" s="122"/>
    </row>
    <row r="215" spans="13:14" x14ac:dyDescent="0.2">
      <c r="N215" s="122"/>
    </row>
    <row r="216" spans="13:14" x14ac:dyDescent="0.2">
      <c r="N216" s="122"/>
    </row>
    <row r="217" spans="13:14" x14ac:dyDescent="0.2">
      <c r="N217" s="122"/>
    </row>
    <row r="218" spans="13:14" x14ac:dyDescent="0.2">
      <c r="N218" s="122"/>
    </row>
    <row r="219" spans="13:14" x14ac:dyDescent="0.2">
      <c r="N219" s="122"/>
    </row>
    <row r="220" spans="13:14" x14ac:dyDescent="0.2">
      <c r="N220" s="122"/>
    </row>
    <row r="221" spans="13:14" x14ac:dyDescent="0.2">
      <c r="N221" s="122"/>
    </row>
    <row r="222" spans="13:14" x14ac:dyDescent="0.2">
      <c r="N222" s="122"/>
    </row>
    <row r="223" spans="13:14" x14ac:dyDescent="0.2">
      <c r="M223" s="122"/>
    </row>
    <row r="224" spans="13:14" x14ac:dyDescent="0.2">
      <c r="M224" s="122"/>
    </row>
    <row r="225" spans="13:13" x14ac:dyDescent="0.2">
      <c r="M225" s="122"/>
    </row>
    <row r="226" spans="13:13" x14ac:dyDescent="0.2">
      <c r="M226" s="122"/>
    </row>
    <row r="227" spans="13:13" x14ac:dyDescent="0.2">
      <c r="M227" s="122"/>
    </row>
    <row r="228" spans="13:13" x14ac:dyDescent="0.2">
      <c r="M228" s="122"/>
    </row>
    <row r="229" spans="13:13" x14ac:dyDescent="0.2">
      <c r="M229" s="122"/>
    </row>
    <row r="230" spans="13:13" x14ac:dyDescent="0.2">
      <c r="M230" s="122"/>
    </row>
    <row r="231" spans="13:13" x14ac:dyDescent="0.2">
      <c r="M231" s="122"/>
    </row>
    <row r="232" spans="13:13" x14ac:dyDescent="0.2">
      <c r="M232" s="122"/>
    </row>
    <row r="233" spans="13:13" x14ac:dyDescent="0.2">
      <c r="M233" s="122"/>
    </row>
    <row r="234" spans="13:13" x14ac:dyDescent="0.2">
      <c r="M234" s="122"/>
    </row>
    <row r="235" spans="13:13" x14ac:dyDescent="0.2">
      <c r="M235" s="122"/>
    </row>
  </sheetData>
  <sheetProtection password="CB45" sheet="1" objects="1" scenarios="1"/>
  <mergeCells count="2">
    <mergeCell ref="B7:B110"/>
    <mergeCell ref="B2:E4"/>
  </mergeCells>
  <phoneticPr fontId="0" type="noConversion"/>
  <dataValidations count="7">
    <dataValidation type="decimal" errorStyle="warning" operator="greaterThanOrEqual" allowBlank="1" showInputMessage="1" showErrorMessage="1" error="Diameter should be larger then previous" sqref="C11:C109" xr:uid="{00000000-0002-0000-0100-000000000000}">
      <formula1>C10</formula1>
    </dataValidation>
    <dataValidation type="decimal" operator="greaterThanOrEqual" allowBlank="1" showInputMessage="1" showErrorMessage="1" error="Use a cumulative size distribution" sqref="D42:D109" xr:uid="{00000000-0002-0000-0100-000001000000}">
      <formula1>D41</formula1>
    </dataValidation>
    <dataValidation type="decimal" operator="greaterThan" allowBlank="1" showInputMessage="1" showErrorMessage="1" error="Should be &gt; 0" sqref="C10" xr:uid="{00000000-0002-0000-0100-000002000000}">
      <formula1>0</formula1>
    </dataValidation>
    <dataValidation type="decimal" operator="greaterThan" allowBlank="1" showInputMessage="1" showErrorMessage="1" error="Density in kg/m3" sqref="J3 M3" xr:uid="{00000000-0002-0000-0100-000003000000}">
      <formula1>100</formula1>
    </dataValidation>
    <dataValidation type="custom" errorStyle="warning" allowBlank="1" showInputMessage="1" showErrorMessage="1" errorTitle="Column size" error="Column size should be larger than separated column." sqref="Q11" xr:uid="{00000000-0002-0000-0100-000004000000}">
      <formula1>Q11&gt;Q10</formula1>
    </dataValidation>
    <dataValidation type="decimal" errorStyle="warning" operator="greaterThanOrEqual" allowBlank="1" showInputMessage="1" showErrorMessage="1" error="Diameter should be larger then previous" sqref="C110" xr:uid="{00000000-0002-0000-0100-000005000000}">
      <formula1>#REF!</formula1>
    </dataValidation>
    <dataValidation type="decimal" operator="greaterThanOrEqual" allowBlank="1" showInputMessage="1" showErrorMessage="1" error="Use a cumulative size distribution" sqref="D110" xr:uid="{00000000-0002-0000-0100-000006000000}">
      <formula1>#REF!</formula1>
    </dataValidation>
  </dataValidations>
  <pageMargins left="0.45" right="0.28999999999999998" top="1" bottom="1" header="0.5" footer="0.5"/>
  <pageSetup paperSize="9" scale="53" orientation="landscape" horizontalDpi="300" verticalDpi="300"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1"/>
  <dimension ref="B1:AW136"/>
  <sheetViews>
    <sheetView zoomScale="75" workbookViewId="0"/>
  </sheetViews>
  <sheetFormatPr defaultRowHeight="12.75" x14ac:dyDescent="0.2"/>
  <cols>
    <col min="1" max="1" width="2.7109375" customWidth="1"/>
    <col min="12" max="12" width="2.7109375" customWidth="1"/>
    <col min="13" max="13" width="10.42578125" bestFit="1" customWidth="1"/>
    <col min="27" max="27" width="2.7109375" customWidth="1"/>
    <col min="28" max="28" width="12.28515625" bestFit="1" customWidth="1"/>
    <col min="40" max="40" width="10.85546875" customWidth="1"/>
    <col min="46" max="46" width="13.28515625" bestFit="1" customWidth="1"/>
  </cols>
  <sheetData>
    <row r="1" spans="2:49" ht="13.5" thickBot="1" x14ac:dyDescent="0.25"/>
    <row r="2" spans="2:49" ht="13.5" thickBot="1" x14ac:dyDescent="0.25">
      <c r="C2" s="323" t="s">
        <v>140</v>
      </c>
      <c r="D2" s="324">
        <f>(E111-C111)/(SQRT(E111*C111))</f>
        <v>2.0213390951898176</v>
      </c>
      <c r="L2" s="1"/>
      <c r="P2" s="2"/>
      <c r="U2" s="72"/>
      <c r="V2" s="73" t="s">
        <v>24</v>
      </c>
      <c r="W2" s="74">
        <v>4.25</v>
      </c>
      <c r="AE2" s="2"/>
    </row>
    <row r="3" spans="2:49" ht="16.5" thickBot="1" x14ac:dyDescent="0.3">
      <c r="C3" s="323" t="s">
        <v>141</v>
      </c>
      <c r="D3" s="324">
        <f>(E111-C111)/D111</f>
        <v>2.0219523551824881</v>
      </c>
      <c r="F3" s="3"/>
      <c r="G3" s="8"/>
      <c r="H3" s="4"/>
      <c r="I3" s="5"/>
      <c r="J3" s="5"/>
      <c r="K3" s="3"/>
      <c r="L3" s="3"/>
      <c r="M3" s="136" t="s">
        <v>42</v>
      </c>
      <c r="N3" s="137">
        <f>rs</f>
        <v>4400</v>
      </c>
      <c r="O3" s="2"/>
      <c r="P3" s="2"/>
      <c r="Q3" s="2"/>
      <c r="R3" s="2"/>
      <c r="S3" s="2"/>
      <c r="U3" s="75"/>
      <c r="V3" s="228" t="s">
        <v>66</v>
      </c>
      <c r="W3" s="229">
        <v>1.5</v>
      </c>
      <c r="AB3" s="140" t="s">
        <v>40</v>
      </c>
      <c r="AC3" s="141">
        <f>SWeRF!M3</f>
        <v>2650</v>
      </c>
      <c r="AD3" s="2"/>
      <c r="AE3" s="2"/>
      <c r="AF3" s="2"/>
      <c r="AG3" s="2"/>
      <c r="AH3" s="2"/>
    </row>
    <row r="4" spans="2:49" ht="18.75" thickBot="1" x14ac:dyDescent="0.3">
      <c r="B4" s="18" t="s">
        <v>18</v>
      </c>
      <c r="C4" s="284"/>
      <c r="D4" s="284"/>
      <c r="E4" s="284"/>
      <c r="F4" s="19"/>
      <c r="G4" s="19"/>
      <c r="H4" s="20"/>
      <c r="I4" s="21"/>
      <c r="J4" s="21"/>
      <c r="K4" s="22"/>
      <c r="L4" s="146"/>
      <c r="M4" s="37" t="s">
        <v>41</v>
      </c>
      <c r="N4" s="38"/>
      <c r="O4" s="38"/>
      <c r="P4" s="38"/>
      <c r="Q4" s="39"/>
      <c r="R4" s="56"/>
      <c r="S4" s="55" t="s">
        <v>6</v>
      </c>
      <c r="T4" s="54"/>
      <c r="U4" s="62"/>
      <c r="V4" s="63" t="s">
        <v>73</v>
      </c>
      <c r="W4" s="251" t="s">
        <v>74</v>
      </c>
      <c r="X4" s="63"/>
      <c r="Y4" s="63"/>
      <c r="Z4" s="64"/>
      <c r="AB4" s="138" t="s">
        <v>39</v>
      </c>
      <c r="AC4" s="139"/>
      <c r="AD4" s="38"/>
      <c r="AE4" s="38"/>
      <c r="AF4" s="39"/>
      <c r="AG4" s="56"/>
      <c r="AH4" s="55" t="s">
        <v>6</v>
      </c>
      <c r="AI4" s="54"/>
      <c r="AJ4" s="230" t="s">
        <v>25</v>
      </c>
      <c r="AK4" s="63"/>
      <c r="AL4" s="64"/>
    </row>
    <row r="5" spans="2:49" ht="16.5" thickBot="1" x14ac:dyDescent="0.3">
      <c r="B5" s="40" t="s">
        <v>3</v>
      </c>
      <c r="C5" s="285" t="s">
        <v>90</v>
      </c>
      <c r="D5" s="285" t="s">
        <v>91</v>
      </c>
      <c r="E5" s="293" t="s">
        <v>92</v>
      </c>
      <c r="F5" s="290" t="s">
        <v>16</v>
      </c>
      <c r="G5" s="23" t="s">
        <v>7</v>
      </c>
      <c r="H5" s="24" t="s">
        <v>19</v>
      </c>
      <c r="I5" s="23" t="s">
        <v>7</v>
      </c>
      <c r="J5" s="23" t="s">
        <v>2</v>
      </c>
      <c r="K5" s="43" t="s">
        <v>22</v>
      </c>
      <c r="L5" s="143"/>
      <c r="M5" s="40" t="s">
        <v>16</v>
      </c>
      <c r="N5" s="41" t="s">
        <v>19</v>
      </c>
      <c r="O5" s="23" t="s">
        <v>7</v>
      </c>
      <c r="P5" s="42" t="s">
        <v>7</v>
      </c>
      <c r="Q5" s="43" t="s">
        <v>22</v>
      </c>
      <c r="R5" s="10" t="s">
        <v>6</v>
      </c>
      <c r="S5" s="12" t="s">
        <v>6</v>
      </c>
      <c r="T5" s="11"/>
      <c r="U5" s="62" t="s">
        <v>72</v>
      </c>
      <c r="V5" s="63"/>
      <c r="W5" s="64"/>
      <c r="X5" s="62" t="s">
        <v>16</v>
      </c>
      <c r="Y5" s="63"/>
      <c r="Z5" s="64"/>
      <c r="AB5" s="40" t="s">
        <v>16</v>
      </c>
      <c r="AC5" s="41" t="s">
        <v>19</v>
      </c>
      <c r="AD5" s="23" t="s">
        <v>7</v>
      </c>
      <c r="AE5" s="42" t="s">
        <v>7</v>
      </c>
      <c r="AF5" s="43" t="s">
        <v>22</v>
      </c>
      <c r="AG5" s="10" t="s">
        <v>6</v>
      </c>
      <c r="AH5" s="12" t="s">
        <v>6</v>
      </c>
      <c r="AI5" s="11"/>
      <c r="AJ5" s="65"/>
      <c r="AK5" s="66"/>
      <c r="AL5" s="68"/>
      <c r="AN5" s="147" t="s">
        <v>44</v>
      </c>
      <c r="AO5" s="319">
        <f>AO6*3600*24</f>
        <v>5698.6073194044529</v>
      </c>
      <c r="AP5" s="317"/>
      <c r="AQ5" s="298" t="s">
        <v>93</v>
      </c>
      <c r="AR5" s="297">
        <f>h</f>
        <v>0.1</v>
      </c>
      <c r="AS5" s="296"/>
      <c r="AT5" s="148" t="s">
        <v>45</v>
      </c>
      <c r="AU5" s="149"/>
    </row>
    <row r="6" spans="2:49" ht="15" thickBot="1" x14ac:dyDescent="0.25">
      <c r="B6" s="25">
        <f>SWeRF!$C$5</f>
        <v>50</v>
      </c>
      <c r="C6" s="286">
        <v>10</v>
      </c>
      <c r="D6" s="286">
        <v>50</v>
      </c>
      <c r="E6" s="294">
        <v>90</v>
      </c>
      <c r="F6" s="291"/>
      <c r="G6" s="26" t="s">
        <v>20</v>
      </c>
      <c r="H6" s="27" t="s">
        <v>0</v>
      </c>
      <c r="I6" s="26" t="s">
        <v>20</v>
      </c>
      <c r="J6" s="26" t="s">
        <v>5</v>
      </c>
      <c r="K6" s="47" t="s">
        <v>17</v>
      </c>
      <c r="L6" s="143"/>
      <c r="M6" s="44"/>
      <c r="N6" s="45" t="s">
        <v>0</v>
      </c>
      <c r="O6" s="26" t="s">
        <v>4</v>
      </c>
      <c r="P6" s="46" t="s">
        <v>4</v>
      </c>
      <c r="Q6" s="47" t="s">
        <v>17</v>
      </c>
      <c r="R6" s="7" t="s">
        <v>8</v>
      </c>
      <c r="S6" s="14" t="s">
        <v>21</v>
      </c>
      <c r="T6" s="13" t="s">
        <v>17</v>
      </c>
      <c r="U6" s="59"/>
      <c r="V6" s="57"/>
      <c r="W6" s="110"/>
      <c r="X6" s="59"/>
      <c r="Y6" s="57"/>
      <c r="Z6" s="110"/>
      <c r="AB6" s="44"/>
      <c r="AC6" s="45" t="s">
        <v>0</v>
      </c>
      <c r="AD6" s="26" t="s">
        <v>4</v>
      </c>
      <c r="AE6" s="46" t="s">
        <v>4</v>
      </c>
      <c r="AF6" s="47" t="s">
        <v>23</v>
      </c>
      <c r="AG6" s="7" t="s">
        <v>8</v>
      </c>
      <c r="AH6" s="14" t="s">
        <v>21</v>
      </c>
      <c r="AI6" s="13" t="s">
        <v>17</v>
      </c>
      <c r="AJ6" s="59"/>
      <c r="AK6" s="57"/>
      <c r="AL6" s="110"/>
      <c r="AN6" s="150" t="s">
        <v>46</v>
      </c>
      <c r="AO6" s="318">
        <f>SWeRF!Q32</f>
        <v>6.5956103233847832E-2</v>
      </c>
      <c r="AP6" s="151"/>
      <c r="AQ6" s="151"/>
      <c r="AR6" s="152" t="s">
        <v>47</v>
      </c>
      <c r="AS6" s="153"/>
      <c r="AT6" s="154" t="s">
        <v>33</v>
      </c>
      <c r="AU6" s="250" t="s">
        <v>17</v>
      </c>
    </row>
    <row r="7" spans="2:49" ht="15" thickBot="1" x14ac:dyDescent="0.3">
      <c r="B7" s="287" t="s">
        <v>32</v>
      </c>
      <c r="C7" s="288" t="s">
        <v>32</v>
      </c>
      <c r="D7" s="288" t="s">
        <v>32</v>
      </c>
      <c r="E7" s="295" t="s">
        <v>32</v>
      </c>
      <c r="F7" s="292"/>
      <c r="G7" s="29" t="s">
        <v>9</v>
      </c>
      <c r="H7" s="28"/>
      <c r="I7" s="28"/>
      <c r="J7" s="28"/>
      <c r="K7" s="30"/>
      <c r="L7" s="145"/>
      <c r="M7" s="48"/>
      <c r="N7" s="29"/>
      <c r="O7" s="29" t="s">
        <v>21</v>
      </c>
      <c r="P7" s="49"/>
      <c r="Q7" s="50"/>
      <c r="R7" s="15"/>
      <c r="S7" s="16"/>
      <c r="T7" s="17"/>
      <c r="U7" s="69" t="s">
        <v>13</v>
      </c>
      <c r="V7" s="70" t="s">
        <v>14</v>
      </c>
      <c r="W7" s="71" t="s">
        <v>15</v>
      </c>
      <c r="X7" s="69" t="s">
        <v>13</v>
      </c>
      <c r="Y7" s="70" t="s">
        <v>14</v>
      </c>
      <c r="Z7" s="71" t="s">
        <v>15</v>
      </c>
      <c r="AB7" s="48"/>
      <c r="AC7" s="29"/>
      <c r="AD7" s="29" t="s">
        <v>21</v>
      </c>
      <c r="AE7" s="49"/>
      <c r="AF7" s="50"/>
      <c r="AG7" s="15"/>
      <c r="AH7" s="16"/>
      <c r="AI7" s="17"/>
      <c r="AJ7" s="69" t="s">
        <v>13</v>
      </c>
      <c r="AK7" s="70" t="s">
        <v>14</v>
      </c>
      <c r="AL7" s="71" t="s">
        <v>15</v>
      </c>
      <c r="AN7" s="155" t="s">
        <v>48</v>
      </c>
      <c r="AO7" s="156" t="s">
        <v>49</v>
      </c>
      <c r="AP7" s="157" t="s">
        <v>8</v>
      </c>
      <c r="AQ7" s="158" t="s">
        <v>50</v>
      </c>
      <c r="AR7" s="159" t="s">
        <v>51</v>
      </c>
      <c r="AS7" s="227" t="s">
        <v>65</v>
      </c>
      <c r="AT7" s="160"/>
      <c r="AU7" s="161" t="s">
        <v>51</v>
      </c>
      <c r="AV7" s="187" t="s">
        <v>59</v>
      </c>
      <c r="AW7" s="187" t="s">
        <v>59</v>
      </c>
    </row>
    <row r="8" spans="2:49" ht="15" x14ac:dyDescent="0.25">
      <c r="B8" s="31"/>
      <c r="C8" s="31"/>
      <c r="D8" s="321"/>
      <c r="E8" s="31"/>
      <c r="F8" s="92">
        <f>IF(G9=0,0,EXP(LN(F10)-(LN(F10)-LN(F9))/(G10-G9)*G10))</f>
        <v>9.9612413790519092E-2</v>
      </c>
      <c r="G8" s="93"/>
      <c r="H8" s="77"/>
      <c r="I8" s="94"/>
      <c r="J8" s="94"/>
      <c r="K8" s="95"/>
      <c r="L8" s="89"/>
      <c r="M8" s="109">
        <f>F8*SQRT(N3/1000)</f>
        <v>0.20894876194216572</v>
      </c>
      <c r="N8" s="96"/>
      <c r="O8" s="97"/>
      <c r="P8" s="98"/>
      <c r="Q8" s="99"/>
      <c r="R8" s="79"/>
      <c r="S8" s="80"/>
      <c r="T8" s="81"/>
      <c r="U8" s="65"/>
      <c r="V8" s="66"/>
      <c r="W8" s="68"/>
      <c r="X8" s="65"/>
      <c r="Y8" s="66"/>
      <c r="Z8" s="68"/>
      <c r="AB8" s="109">
        <f>F8*SQRT(AC3/1000)</f>
        <v>0.16215726132403085</v>
      </c>
      <c r="AC8" s="96"/>
      <c r="AD8" s="97"/>
      <c r="AE8" s="98"/>
      <c r="AF8" s="99"/>
      <c r="AG8" s="79"/>
      <c r="AH8" s="80"/>
      <c r="AI8" s="81"/>
      <c r="AJ8" s="65"/>
      <c r="AK8" s="66"/>
      <c r="AL8" s="68"/>
      <c r="AN8" s="147"/>
      <c r="AO8" s="162"/>
      <c r="AP8" s="163"/>
      <c r="AQ8" s="164"/>
      <c r="AR8" s="67"/>
      <c r="AS8" s="162"/>
      <c r="AT8" s="164"/>
      <c r="AU8" s="165"/>
    </row>
    <row r="9" spans="2:49" x14ac:dyDescent="0.2">
      <c r="B9" s="34">
        <f>IF(AND((G9-B$6)*(G8-B$6)&lt;=0,ISNUMBER(SWeRF!C10)),(F8+(B$6-G8)*(F9-F8)/(G9-G8)),0)</f>
        <v>0</v>
      </c>
      <c r="C9" s="34">
        <f>IF(AND((G9-C$6)*(G8-C$6)&lt;=0,ISNUMBER(SWeRF!C10)),(F8+(C$6-G8)*(F9-F8)/(G9-G8)),0)</f>
        <v>0</v>
      </c>
      <c r="D9" s="322">
        <f>IF(AND((G9-D$6)*(G8-D$6)&lt;=0,ISNUMBER(SWeRF!C10)),(F8+(D$6-G8)*(F9-F8)/(G9-G8)),0)</f>
        <v>0</v>
      </c>
      <c r="E9" s="34">
        <f>IF(AND((G9-E$6)*(G8-E$6)&lt;=0,ISNUMBER(SWeRF!C10)),(F8+(E$6-G8)*(F9-F8)/(G9-G8)),0)</f>
        <v>0</v>
      </c>
      <c r="F9" s="100">
        <f>IF(ISNUMBER(SWeRF!C10),SWeRF!C10,"")</f>
        <v>0.1</v>
      </c>
      <c r="G9" s="32">
        <f>IF(ISNUMBER(SWeRF!D10),SWeRF!D10,G8)</f>
        <v>4.2178545661123111E-6</v>
      </c>
      <c r="H9" s="76">
        <f>(F9+F8)/2</f>
        <v>9.9806206895259542E-2</v>
      </c>
      <c r="I9" s="35">
        <f>G9</f>
        <v>4.2178545661123111E-6</v>
      </c>
      <c r="J9" s="35">
        <f>IF(H9=0,0,I9/H9)</f>
        <v>4.2260443486632941E-5</v>
      </c>
      <c r="K9" s="36">
        <f t="shared" ref="K9:K42" si="0">IF(F9=F8,0,I9/(F9-F8)*H9)</f>
        <v>1.0861275638349311E-3</v>
      </c>
      <c r="L9" s="144"/>
      <c r="M9" s="31">
        <f>F9*SQRT(N$3/1000)</f>
        <v>0.20976176963403034</v>
      </c>
      <c r="N9" s="33">
        <f>H9*SQRT(N$3/1000)</f>
        <v>0.20935526578809802</v>
      </c>
      <c r="O9" s="33">
        <f t="shared" ref="O9:O42" si="1">G9</f>
        <v>4.2178545661123111E-6</v>
      </c>
      <c r="P9" s="52">
        <f>O9</f>
        <v>4.2178545661123111E-6</v>
      </c>
      <c r="Q9" s="53">
        <f t="shared" ref="Q9:Q42" si="2">IF(M9=M8,0,P9/(M9-M8)*N9)</f>
        <v>1.0861275638349307E-3</v>
      </c>
      <c r="R9" s="82">
        <f t="shared" ref="R9:R42" si="3">W9*P9/100</f>
        <v>4.1915293500244966E-6</v>
      </c>
      <c r="S9" s="6">
        <f>R9</f>
        <v>4.1915293500244966E-6</v>
      </c>
      <c r="T9" s="9">
        <f t="shared" ref="T9:T42" si="4">IF(F9=F8,0,R9/(F9-F8)*H9)</f>
        <v>1.0793486333695215E-3</v>
      </c>
      <c r="U9" s="60">
        <f t="shared" ref="U9:U42" si="5">50*(1+EXP(-0.06*N9))</f>
        <v>99.375862404097944</v>
      </c>
      <c r="V9" s="58">
        <f t="shared" ref="V9:V42" si="6">1-LOGNORMDIST(N9,LN(M),LN(S))</f>
        <v>0.99999999999994371</v>
      </c>
      <c r="W9" s="61">
        <f t="shared" ref="W9:W42" si="7">V9*U9</f>
        <v>99.375862404092345</v>
      </c>
      <c r="X9" s="60">
        <f>50*(1+EXP(-0.06*M9))</f>
        <v>99.374658130106454</v>
      </c>
      <c r="Y9" s="58">
        <f t="shared" ref="Y9:Y40" si="8">1-LOGNORMDIST(M9,LN(M),LN(S))</f>
        <v>0.9999999999999416</v>
      </c>
      <c r="Z9" s="61">
        <f t="shared" ref="Z9:Z40" si="9">Y9*X9</f>
        <v>99.374658130100656</v>
      </c>
      <c r="AB9" s="25">
        <f t="shared" ref="AB9:AB40" si="10">F9*SQRT(AC$3/1000)</f>
        <v>0.16278820596099708</v>
      </c>
      <c r="AC9" s="76">
        <f>(AB8+AB9)/2</f>
        <v>0.16247273364251397</v>
      </c>
      <c r="AD9" s="33">
        <f>G9</f>
        <v>4.2178545661123111E-6</v>
      </c>
      <c r="AE9" s="52">
        <f>AD9</f>
        <v>4.2178545661123111E-6</v>
      </c>
      <c r="AF9" s="53">
        <f>AE9/(AB9-AB9/SQRT(PI()))*AC9</f>
        <v>9.6594310183416743E-6</v>
      </c>
      <c r="AG9" s="82">
        <f t="shared" ref="AG9:AG42" si="11">AL9*AE9/100</f>
        <v>4.1973958567581885E-6</v>
      </c>
      <c r="AH9" s="6">
        <f>AG9</f>
        <v>4.1973958567581885E-6</v>
      </c>
      <c r="AI9" s="9">
        <f t="shared" ref="AI9:AI40" si="12">IF(F9=F8,0,AG9/(F9-F8)*H9)</f>
        <v>1.0808593005978511E-3</v>
      </c>
      <c r="AJ9" s="60">
        <f t="shared" ref="AJ9:AJ42" si="13">50*(1+EXP(-0.06*AC9))</f>
        <v>99.514949862935225</v>
      </c>
      <c r="AK9" s="58">
        <f t="shared" ref="AK9:AK42" si="14">1-LOGNORMDIST(AC9,LN(M),LN(S))</f>
        <v>0.99999999999999956</v>
      </c>
      <c r="AL9" s="61">
        <f t="shared" ref="AL9:AL42" si="15">AK9*AJ9</f>
        <v>99.514949862935183</v>
      </c>
      <c r="AN9" s="166">
        <f t="shared" ref="AN9:AN42" si="16">(H9/1000000)^2*(rs-rm)*9.81/(18*n*0.001)</f>
        <v>1.8649124307817319E-8</v>
      </c>
      <c r="AO9" s="167">
        <f>AN9*AO$5</f>
        <v>1.0627403628101127E-4</v>
      </c>
      <c r="AP9" s="299">
        <f t="shared" ref="AP9:AP42" si="17">IF(AO9&lt;h,(h-AO9)/h,0)</f>
        <v>0.99893725963718993</v>
      </c>
      <c r="AQ9" s="168">
        <f t="shared" ref="AQ9:AQ40" si="18">I9*AP9*h/HH</f>
        <v>1.9151691281002007E-6</v>
      </c>
      <c r="AR9" s="168">
        <f>AP9*100</f>
        <v>99.893725963718992</v>
      </c>
      <c r="AS9" s="169">
        <f t="shared" ref="AS9:AS40" si="19">I9*AP9</f>
        <v>4.2133720818204412E-6</v>
      </c>
      <c r="AT9" s="168">
        <f>AS9</f>
        <v>4.2133720818204412E-6</v>
      </c>
      <c r="AU9" s="170">
        <f>AS9/(F9-F9/SQRT(PI()))*H9</f>
        <v>9.6491655511167033E-6</v>
      </c>
    </row>
    <row r="10" spans="2:49" x14ac:dyDescent="0.2">
      <c r="B10" s="34">
        <f>IF(AND((G10-B$6)*(G9-B$6)&lt;=0,ISNUMBER(SWeRF!C11)),(F9+(B$6-G9)*(F10-F9)/(G10-G9)),0)</f>
        <v>0</v>
      </c>
      <c r="C10" s="34">
        <f>IF(AND((G10-C$6)*(G9-C$6)&lt;=0,ISNUMBER(SWeRF!C11)),(F9+(C$6-G9)*(F10-F9)/(G10-G9)),0)</f>
        <v>0</v>
      </c>
      <c r="D10" s="322">
        <f>IF(AND((G10-D$6)*(G9-D$6)&lt;=0,ISNUMBER(SWeRF!C11)),(F9+(D$6-G9)*(F10-F9)/(G10-G9)),0)</f>
        <v>0</v>
      </c>
      <c r="E10" s="34">
        <f>IF(AND((G10-E$6)*(G9-E$6)&lt;=0,ISNUMBER(SWeRF!C11)),(F9+(E$6-G9)*(F10-F9)/(G10-G9)),0)</f>
        <v>0</v>
      </c>
      <c r="F10" s="100">
        <f>IF(ISNUMBER(SWeRF!C11),SWeRF!C11,F9)</f>
        <v>0.20553827970585661</v>
      </c>
      <c r="G10" s="32">
        <f>IF(ISNUMBER(SWeRF!D11),SWeRF!D11,G9)</f>
        <v>7.867306237741953E-4</v>
      </c>
      <c r="H10" s="76">
        <f t="shared" ref="H10:H73" si="20">SQRT(F10*F9)</f>
        <v>0.14336606282724537</v>
      </c>
      <c r="I10" s="35">
        <f t="shared" ref="I10:I42" si="21">G10-G9</f>
        <v>7.8251276920808294E-4</v>
      </c>
      <c r="J10" s="35">
        <f t="shared" ref="J10:J42" si="22">IF(H10=0,0,I10/H10)</f>
        <v>5.4581450712711749E-3</v>
      </c>
      <c r="K10" s="36">
        <f t="shared" si="0"/>
        <v>1.0629865783872757E-3</v>
      </c>
      <c r="L10" s="144"/>
      <c r="M10" s="25">
        <f t="shared" ref="M10:M42" si="23">F10*SQRT(N$3/1000)</f>
        <v>0.43114073278634785</v>
      </c>
      <c r="N10" s="33">
        <f t="shared" ref="N10:N73" si="24">H10*SQRT(N$3/1000)</f>
        <v>0.30072719044106561</v>
      </c>
      <c r="O10" s="33">
        <f>G10</f>
        <v>7.867306237741953E-4</v>
      </c>
      <c r="P10" s="52">
        <f t="shared" ref="P10:P42" si="25">O10-O9</f>
        <v>7.8251276920808294E-4</v>
      </c>
      <c r="Q10" s="53">
        <f t="shared" si="2"/>
        <v>1.0629865783872757E-3</v>
      </c>
      <c r="R10" s="82">
        <f t="shared" si="3"/>
        <v>7.7551639302028252E-4</v>
      </c>
      <c r="S10" s="6">
        <f t="shared" ref="S10:S42" si="26">S9+R10</f>
        <v>7.7970792237030701E-4</v>
      </c>
      <c r="T10" s="9">
        <f t="shared" si="4"/>
        <v>1.0534825111341538E-3</v>
      </c>
      <c r="U10" s="60">
        <f t="shared" si="5"/>
        <v>99.105909010314932</v>
      </c>
      <c r="V10" s="58">
        <f t="shared" si="6"/>
        <v>0.99999999996753686</v>
      </c>
      <c r="W10" s="61">
        <f t="shared" si="7"/>
        <v>99.105909007097637</v>
      </c>
      <c r="X10" s="60">
        <f t="shared" ref="X10:X42" si="27">50*(1+EXP(-0.06*M10))</f>
        <v>98.72316388497741</v>
      </c>
      <c r="Y10" s="58">
        <f t="shared" si="8"/>
        <v>0.99999999166830855</v>
      </c>
      <c r="Z10" s="61">
        <f t="shared" si="9"/>
        <v>98.723163062446474</v>
      </c>
      <c r="AB10" s="25">
        <f t="shared" si="10"/>
        <v>0.33459207809626007</v>
      </c>
      <c r="AC10" s="76">
        <f>SQRT(AB10*AB9)</f>
        <v>0.2333830416333886</v>
      </c>
      <c r="AD10" s="33">
        <f t="shared" ref="AD10:AD73" si="28">G10</f>
        <v>7.867306237741953E-4</v>
      </c>
      <c r="AE10" s="52">
        <f>AD10-AD9</f>
        <v>7.8251276920808294E-4</v>
      </c>
      <c r="AF10" s="53">
        <f t="shared" ref="AF10:AF42" si="29">IF(AB10=AB9,0,AE10/(AB10-AB9)*AC10)</f>
        <v>1.0629865783872757E-3</v>
      </c>
      <c r="AG10" s="82">
        <f t="shared" si="11"/>
        <v>7.7707219394233568E-4</v>
      </c>
      <c r="AH10" s="6">
        <f t="shared" ref="AH10:AH42" si="30">AH9+AG10</f>
        <v>7.8126958979909391E-4</v>
      </c>
      <c r="AI10" s="9">
        <f t="shared" si="12"/>
        <v>1.0555959533217602E-3</v>
      </c>
      <c r="AJ10" s="60">
        <f t="shared" si="13"/>
        <v>99.304730161664551</v>
      </c>
      <c r="AK10" s="58">
        <f t="shared" si="14"/>
        <v>0.99999999999958833</v>
      </c>
      <c r="AL10" s="61">
        <f t="shared" si="15"/>
        <v>99.304730161623667</v>
      </c>
      <c r="AN10" s="166">
        <f t="shared" si="16"/>
        <v>3.8480088283151361E-8</v>
      </c>
      <c r="AO10" s="167">
        <f t="shared" ref="AO10:AO42" si="31">AN10*AO$5</f>
        <v>2.1928291274169587E-4</v>
      </c>
      <c r="AP10" s="299">
        <f t="shared" si="17"/>
        <v>0.99780717087258308</v>
      </c>
      <c r="AQ10" s="168">
        <f t="shared" si="18"/>
        <v>3.5490766018872173E-4</v>
      </c>
      <c r="AR10" s="168">
        <f>AP10*100</f>
        <v>99.78071708725831</v>
      </c>
      <c r="AS10" s="169">
        <f t="shared" si="19"/>
        <v>7.8079685241518775E-4</v>
      </c>
      <c r="AT10" s="168">
        <f t="shared" ref="AT10:AT42" si="32">AT9+AS10</f>
        <v>7.8501022449700816E-4</v>
      </c>
      <c r="AU10" s="170">
        <f t="shared" ref="AU10:AU41" si="33">IF(F10=F9,0,AS10/(F10-F9)*H10)</f>
        <v>1.0606556304561348E-3</v>
      </c>
    </row>
    <row r="11" spans="2:49" x14ac:dyDescent="0.2">
      <c r="B11" s="34">
        <f>IF(AND((G11-B$6)*(G10-B$6)&lt;=0,ISNUMBER(SWeRF!C12)),(F10+(B$6-G10)*(F11-F10)/(G11-G10)),0)</f>
        <v>0</v>
      </c>
      <c r="C11" s="34">
        <f>IF(AND((G11-C$6)*(G10-C$6)&lt;=0,ISNUMBER(SWeRF!C12)),(F10+(C$6-G10)*(F11-F10)/(G11-G10)),0)</f>
        <v>0</v>
      </c>
      <c r="D11" s="322">
        <f>IF(AND((G11-D$6)*(G10-D$6)&lt;=0,ISNUMBER(SWeRF!C12)),(F10+(D$6-G10)*(F11-F10)/(G11-G10)),0)</f>
        <v>0</v>
      </c>
      <c r="E11" s="34">
        <f>IF(AND((G11-E$6)*(G10-E$6)&lt;=0,ISNUMBER(SWeRF!C12)),(F10+(E$6-G10)*(F11-F10)/(G11-G10)),0)</f>
        <v>0</v>
      </c>
      <c r="F11" s="100">
        <f>IF(ISNUMBER(SWeRF!C12),SWeRF!C12,F10)</f>
        <v>0.26241358586103425</v>
      </c>
      <c r="G11" s="32">
        <f>IF(ISNUMBER(SWeRF!D12),SWeRF!D12,G10)</f>
        <v>3.6588958514231955E-3</v>
      </c>
      <c r="H11" s="76">
        <f t="shared" si="20"/>
        <v>0.2322413335505161</v>
      </c>
      <c r="I11" s="35">
        <f t="shared" si="21"/>
        <v>2.8721652276490002E-3</v>
      </c>
      <c r="J11" s="35">
        <f t="shared" si="22"/>
        <v>1.236715783422015E-2</v>
      </c>
      <c r="K11" s="36">
        <f t="shared" si="0"/>
        <v>1.1728033266787119E-2</v>
      </c>
      <c r="L11" s="144"/>
      <c r="M11" s="25">
        <f t="shared" si="23"/>
        <v>0.55044338146222105</v>
      </c>
      <c r="N11" s="33">
        <f t="shared" si="24"/>
        <v>0.48715353107723358</v>
      </c>
      <c r="O11" s="33">
        <f t="shared" si="1"/>
        <v>3.6588958514231955E-3</v>
      </c>
      <c r="P11" s="52">
        <f>O11-O10</f>
        <v>2.8721652276490002E-3</v>
      </c>
      <c r="Q11" s="53">
        <f t="shared" si="2"/>
        <v>1.1728033266787117E-2</v>
      </c>
      <c r="R11" s="82">
        <f t="shared" si="3"/>
        <v>2.8307970575238528E-3</v>
      </c>
      <c r="S11" s="6">
        <f t="shared" si="26"/>
        <v>3.6105049798941598E-3</v>
      </c>
      <c r="T11" s="9">
        <f t="shared" si="4"/>
        <v>1.1559112875041074E-2</v>
      </c>
      <c r="U11" s="60">
        <f t="shared" si="5"/>
        <v>98.559691490183795</v>
      </c>
      <c r="V11" s="58">
        <f t="shared" si="6"/>
        <v>0.99999995409938336</v>
      </c>
      <c r="W11" s="61">
        <f t="shared" si="7"/>
        <v>98.559686966233173</v>
      </c>
      <c r="X11" s="60">
        <f t="shared" si="27"/>
        <v>98.375641030586038</v>
      </c>
      <c r="Y11" s="58">
        <f t="shared" si="8"/>
        <v>0.99999976844890914</v>
      </c>
      <c r="Z11" s="61">
        <f t="shared" si="9"/>
        <v>98.37561825159905</v>
      </c>
      <c r="AB11" s="25">
        <f t="shared" si="10"/>
        <v>0.42717836862109826</v>
      </c>
      <c r="AC11" s="76">
        <f t="shared" ref="AC11:AC74" si="34">SQRT(AB11*AB10)</f>
        <v>0.37806150038678032</v>
      </c>
      <c r="AD11" s="33">
        <f t="shared" si="28"/>
        <v>3.6588958514231955E-3</v>
      </c>
      <c r="AE11" s="52">
        <f t="shared" ref="AE11:AE42" si="35">AD11-AD10</f>
        <v>2.8721652276490002E-3</v>
      </c>
      <c r="AF11" s="53">
        <f t="shared" si="29"/>
        <v>1.1728033266787121E-2</v>
      </c>
      <c r="AG11" s="82">
        <f t="shared" si="11"/>
        <v>2.8399562615127401E-3</v>
      </c>
      <c r="AH11" s="6">
        <f t="shared" si="30"/>
        <v>3.621225851311834E-3</v>
      </c>
      <c r="AI11" s="9">
        <f t="shared" si="12"/>
        <v>1.159651303852919E-2</v>
      </c>
      <c r="AJ11" s="60">
        <f t="shared" si="13"/>
        <v>98.878582527026452</v>
      </c>
      <c r="AK11" s="58">
        <f t="shared" si="14"/>
        <v>0.99999999879549772</v>
      </c>
      <c r="AL11" s="61">
        <f t="shared" si="15"/>
        <v>98.87858240792697</v>
      </c>
      <c r="AN11" s="166">
        <f t="shared" si="16"/>
        <v>1.0097697950630915E-7</v>
      </c>
      <c r="AO11" s="167">
        <f t="shared" si="31"/>
        <v>5.7542815450600674E-4</v>
      </c>
      <c r="AP11" s="299">
        <f t="shared" si="17"/>
        <v>0.99424571845493992</v>
      </c>
      <c r="AQ11" s="168">
        <f t="shared" si="18"/>
        <v>1.2980172637659891E-3</v>
      </c>
      <c r="AR11" s="168">
        <f t="shared" ref="AR11:AR42" si="36">AP11*100</f>
        <v>99.424571845493986</v>
      </c>
      <c r="AS11" s="169">
        <f t="shared" si="19"/>
        <v>2.8556379802851762E-3</v>
      </c>
      <c r="AT11" s="168">
        <f t="shared" si="32"/>
        <v>3.6406482047821845E-3</v>
      </c>
      <c r="AU11" s="170">
        <f t="shared" si="33"/>
        <v>1.1660546861400195E-2</v>
      </c>
    </row>
    <row r="12" spans="2:49" x14ac:dyDescent="0.2">
      <c r="B12" s="34">
        <f>IF(AND((G12-B$6)*(G11-B$6)&lt;=0,ISNUMBER(SWeRF!C13)),(F11+(B$6-G11)*(F12-F11)/(G12-G11)),0)</f>
        <v>0</v>
      </c>
      <c r="C12" s="34">
        <f>IF(AND((G12-C$6)*(G11-C$6)&lt;=0,ISNUMBER(SWeRF!C13)),(F11+(C$6-G11)*(F12-F11)/(G12-G11)),0)</f>
        <v>0</v>
      </c>
      <c r="D12" s="322">
        <f>IF(AND((G12-D$6)*(G11-D$6)&lt;=0,ISNUMBER(SWeRF!C13)),(F11+(D$6-G11)*(F12-F11)/(G12-G11)),0)</f>
        <v>0</v>
      </c>
      <c r="E12" s="34">
        <f>IF(AND((G12-E$6)*(G11-E$6)&lt;=0,ISNUMBER(SWeRF!C13)),(F11+(E$6-G11)*(F12-F11)/(G12-G11)),0)</f>
        <v>0</v>
      </c>
      <c r="F12" s="100">
        <f>IF(ISNUMBER(SWeRF!C13),SWeRF!C13,F11)</f>
        <v>0.32221488789498498</v>
      </c>
      <c r="G12" s="32">
        <f>IF(ISNUMBER(SWeRF!D13),SWeRF!D13,G11)</f>
        <v>1.2149895734768615E-2</v>
      </c>
      <c r="H12" s="76">
        <f t="shared" si="20"/>
        <v>0.29078095561837292</v>
      </c>
      <c r="I12" s="35">
        <f t="shared" si="21"/>
        <v>8.4909998833454202E-3</v>
      </c>
      <c r="J12" s="35">
        <f t="shared" si="22"/>
        <v>2.9200673975668435E-2</v>
      </c>
      <c r="K12" s="36">
        <f t="shared" si="0"/>
        <v>4.1287078646430601E-2</v>
      </c>
      <c r="L12" s="144"/>
      <c r="M12" s="25">
        <f t="shared" si="23"/>
        <v>0.67588365087282742</v>
      </c>
      <c r="N12" s="33">
        <f t="shared" si="24"/>
        <v>0.60994727826384332</v>
      </c>
      <c r="O12" s="33">
        <f t="shared" si="1"/>
        <v>1.2149895734768615E-2</v>
      </c>
      <c r="P12" s="52">
        <f t="shared" si="25"/>
        <v>8.4909998833454202E-3</v>
      </c>
      <c r="Q12" s="53">
        <f t="shared" si="2"/>
        <v>4.1287078646430615E-2</v>
      </c>
      <c r="R12" s="82">
        <f t="shared" si="3"/>
        <v>8.3384296786638955E-3</v>
      </c>
      <c r="S12" s="6">
        <f t="shared" si="26"/>
        <v>1.1948934658558055E-2</v>
      </c>
      <c r="T12" s="9">
        <f>IF(F12=F11,0,R12/(F12-F11)*H12)</f>
        <v>4.0545213362444016E-2</v>
      </c>
      <c r="U12" s="60">
        <f t="shared" si="5"/>
        <v>98.203236626636439</v>
      </c>
      <c r="V12" s="58">
        <f t="shared" si="6"/>
        <v>0.99999915706678866</v>
      </c>
      <c r="W12" s="61">
        <f>V12*U12</f>
        <v>98.20315384786683</v>
      </c>
      <c r="X12" s="60">
        <f>50*(1+EXP(-0.06*M12))</f>
        <v>98.012912558961446</v>
      </c>
      <c r="Y12" s="58">
        <f t="shared" si="8"/>
        <v>0.99999711541528025</v>
      </c>
      <c r="Z12" s="61">
        <f t="shared" si="9"/>
        <v>98.012629832411534</v>
      </c>
      <c r="AB12" s="25">
        <f t="shared" si="10"/>
        <v>0.52452783534348391</v>
      </c>
      <c r="AC12" s="76">
        <f t="shared" si="34"/>
        <v>0.47335710092739236</v>
      </c>
      <c r="AD12" s="33">
        <f t="shared" si="28"/>
        <v>1.2149895734768615E-2</v>
      </c>
      <c r="AE12" s="52">
        <f t="shared" si="35"/>
        <v>8.4909998833454202E-3</v>
      </c>
      <c r="AF12" s="53">
        <f>IF(AB12=AB11,0,AE12/(AB12-AB11)*AC12)</f>
        <v>4.1287078646430601E-2</v>
      </c>
      <c r="AG12" s="82">
        <f t="shared" si="11"/>
        <v>8.3721175724429282E-3</v>
      </c>
      <c r="AH12" s="6">
        <f t="shared" si="30"/>
        <v>1.1993343423754762E-2</v>
      </c>
      <c r="AI12" s="9">
        <f t="shared" si="12"/>
        <v>4.0709019126075649E-2</v>
      </c>
      <c r="AJ12" s="60">
        <f t="shared" si="13"/>
        <v>98.5999051555428</v>
      </c>
      <c r="AK12" s="58">
        <f t="shared" si="14"/>
        <v>0.99999996902899468</v>
      </c>
      <c r="AL12" s="61">
        <f t="shared" si="15"/>
        <v>98.599902101804616</v>
      </c>
      <c r="AN12" s="166">
        <f>(H12/1000000)^2*(rs-rm)*9.81/(18*n*0.001)</f>
        <v>1.5829793933354842E-7</v>
      </c>
      <c r="AO12" s="167">
        <f>AN12*AO$5</f>
        <v>9.0207779573280109E-4</v>
      </c>
      <c r="AP12" s="299">
        <f>IF(AO12&lt;h,(h-AO12)/h,0)</f>
        <v>0.99097922204267197</v>
      </c>
      <c r="AQ12" s="168">
        <f t="shared" si="18"/>
        <v>3.8247292994373016E-3</v>
      </c>
      <c r="AR12" s="168">
        <f t="shared" si="36"/>
        <v>99.097922204267192</v>
      </c>
      <c r="AS12" s="169">
        <f t="shared" si="19"/>
        <v>8.4144044587620634E-3</v>
      </c>
      <c r="AT12" s="168">
        <f t="shared" si="32"/>
        <v>1.2055052663544247E-2</v>
      </c>
      <c r="AU12" s="170">
        <f t="shared" si="33"/>
        <v>4.0914637077454415E-2</v>
      </c>
    </row>
    <row r="13" spans="2:49" x14ac:dyDescent="0.2">
      <c r="B13" s="34">
        <f>IF(AND((G13-B$6)*(G12-B$6)&lt;=0,ISNUMBER(SWeRF!C14)),(F12+(B$6-G12)*(F13-F12)/(G13-G12)),0)</f>
        <v>0</v>
      </c>
      <c r="C13" s="34">
        <f>IF(AND((G13-C$6)*(G12-C$6)&lt;=0,ISNUMBER(SWeRF!C14)),(F12+(C$6-G12)*(F13-F12)/(G13-G12)),0)</f>
        <v>0</v>
      </c>
      <c r="D13" s="322">
        <f>IF(AND((G13-D$6)*(G12-D$6)&lt;=0,ISNUMBER(SWeRF!C14)),(F12+(D$6-G12)*(F13-F12)/(G13-G12)),0)</f>
        <v>0</v>
      </c>
      <c r="E13" s="34">
        <f>IF(AND((G13-E$6)*(G12-E$6)&lt;=0,ISNUMBER(SWeRF!C14)),(F12+(E$6-G12)*(F13-F12)/(G13-G12)),0)</f>
        <v>0</v>
      </c>
      <c r="F13" s="100">
        <f>IF(ISNUMBER(SWeRF!C14),SWeRF!C14,F12)</f>
        <v>0.385092716019524</v>
      </c>
      <c r="G13" s="32">
        <f>IF(ISNUMBER(SWeRF!D14),SWeRF!D14,G12)</f>
        <v>3.2203133383978851E-2</v>
      </c>
      <c r="H13" s="76">
        <f t="shared" si="20"/>
        <v>0.35225361079967116</v>
      </c>
      <c r="I13" s="35">
        <f t="shared" si="21"/>
        <v>2.0053237649210236E-2</v>
      </c>
      <c r="J13" s="35">
        <f t="shared" si="22"/>
        <v>5.6928409062113598E-2</v>
      </c>
      <c r="K13" s="36">
        <f t="shared" si="0"/>
        <v>0.11234207002454417</v>
      </c>
      <c r="L13" s="144"/>
      <c r="M13" s="25">
        <f t="shared" si="23"/>
        <v>0.80777729585430447</v>
      </c>
      <c r="N13" s="33">
        <f t="shared" si="24"/>
        <v>0.73889340761316002</v>
      </c>
      <c r="O13" s="33">
        <f t="shared" si="1"/>
        <v>3.2203133383978851E-2</v>
      </c>
      <c r="P13" s="52">
        <f t="shared" si="25"/>
        <v>2.0053237649210236E-2</v>
      </c>
      <c r="Q13" s="53">
        <f t="shared" si="2"/>
        <v>0.11234207002454419</v>
      </c>
      <c r="R13" s="82">
        <f t="shared" si="3"/>
        <v>1.9618274318598625E-2</v>
      </c>
      <c r="S13" s="6">
        <f t="shared" si="26"/>
        <v>3.1567208977156681E-2</v>
      </c>
      <c r="T13" s="9">
        <f t="shared" si="4"/>
        <v>0.10990532231325362</v>
      </c>
      <c r="U13" s="60">
        <f t="shared" si="5"/>
        <v>97.831738330629918</v>
      </c>
      <c r="V13" s="58">
        <f t="shared" si="6"/>
        <v>0.99999201438707186</v>
      </c>
      <c r="W13" s="61">
        <f t="shared" si="7"/>
        <v>97.830957084235521</v>
      </c>
      <c r="X13" s="60">
        <f t="shared" si="27"/>
        <v>97.634456131356657</v>
      </c>
      <c r="Y13" s="58">
        <f>1-LOGNORMDIST(M13,LN(M),LN(S))</f>
        <v>0.99997889343379953</v>
      </c>
      <c r="Z13" s="61">
        <f t="shared" si="9"/>
        <v>97.632395403244871</v>
      </c>
      <c r="AB13" s="25">
        <f t="shared" si="10"/>
        <v>0.62688552369466022</v>
      </c>
      <c r="AC13" s="76">
        <f t="shared" si="34"/>
        <v>0.57342733345361763</v>
      </c>
      <c r="AD13" s="33">
        <f t="shared" si="28"/>
        <v>3.2203133383978851E-2</v>
      </c>
      <c r="AE13" s="52">
        <f t="shared" si="35"/>
        <v>2.0053237649210236E-2</v>
      </c>
      <c r="AF13" s="53">
        <f t="shared" si="29"/>
        <v>0.11234207002454415</v>
      </c>
      <c r="AG13" s="82">
        <f>AL13*AE13/100</f>
        <v>1.9714124731952224E-2</v>
      </c>
      <c r="AH13" s="6">
        <f t="shared" si="30"/>
        <v>3.1707468155706985E-2</v>
      </c>
      <c r="AI13" s="9">
        <f t="shared" si="12"/>
        <v>0.11044229464845534</v>
      </c>
      <c r="AJ13" s="60">
        <f t="shared" si="13"/>
        <v>98.308975203816004</v>
      </c>
      <c r="AK13" s="58">
        <f t="shared" si="14"/>
        <v>0.99999960961142009</v>
      </c>
      <c r="AL13" s="61">
        <f t="shared" si="15"/>
        <v>98.308936825114785</v>
      </c>
      <c r="AN13" s="166">
        <f t="shared" si="16"/>
        <v>2.3230269575498319E-7</v>
      </c>
      <c r="AO13" s="167">
        <f t="shared" si="31"/>
        <v>1.323801842346733E-3</v>
      </c>
      <c r="AP13" s="299">
        <f t="shared" si="17"/>
        <v>0.98676198157653272</v>
      </c>
      <c r="AQ13" s="168">
        <f>I13*AP13*h/HH</f>
        <v>8.9944420544362837E-3</v>
      </c>
      <c r="AR13" s="168">
        <f t="shared" si="36"/>
        <v>98.676198157653275</v>
      </c>
      <c r="AS13" s="169">
        <f t="shared" si="19"/>
        <v>1.9787772519759824E-2</v>
      </c>
      <c r="AT13" s="168">
        <f t="shared" si="32"/>
        <v>3.1842825183304072E-2</v>
      </c>
      <c r="AU13" s="170">
        <f t="shared" si="33"/>
        <v>0.11085488363182881</v>
      </c>
    </row>
    <row r="14" spans="2:49" x14ac:dyDescent="0.2">
      <c r="B14" s="34">
        <f>IF(AND((G14-B$6)*(G13-B$6)&lt;=0,ISNUMBER(SWeRF!C15)),(F13+(B$6-G13)*(F14-F13)/(G14-G13)),0)</f>
        <v>0</v>
      </c>
      <c r="C14" s="34">
        <f>IF(AND((G14-C$6)*(G13-C$6)&lt;=0,ISNUMBER(SWeRF!C15)),(F13+(C$6-G13)*(F14-F13)/(G14-G13)),0)</f>
        <v>0</v>
      </c>
      <c r="D14" s="322">
        <f>IF(AND((G14-D$6)*(G13-D$6)&lt;=0,ISNUMBER(SWeRF!C15)),(F13+(D$6-G13)*(F14-F13)/(G14-G13)),0)</f>
        <v>0</v>
      </c>
      <c r="E14" s="34">
        <f>IF(AND((G14-E$6)*(G13-E$6)&lt;=0,ISNUMBER(SWeRF!C15)),(F13+(E$6-G13)*(F14-F13)/(G14-G13)),0)</f>
        <v>0</v>
      </c>
      <c r="F14" s="100">
        <f>IF(ISNUMBER(SWeRF!C15),SWeRF!C15,F13)</f>
        <v>0.45120534459430817</v>
      </c>
      <c r="G14" s="32">
        <f>IF(ISNUMBER(SWeRF!D15),SWeRF!D15,G13)</f>
        <v>7.2685774960237121E-2</v>
      </c>
      <c r="H14" s="76">
        <f t="shared" si="20"/>
        <v>0.41684036708594741</v>
      </c>
      <c r="I14" s="35">
        <f t="shared" si="21"/>
        <v>4.048264157625827E-2</v>
      </c>
      <c r="J14" s="35">
        <f t="shared" si="22"/>
        <v>9.7117853194652909E-2</v>
      </c>
      <c r="K14" s="36">
        <f t="shared" si="0"/>
        <v>0.25524320449864102</v>
      </c>
      <c r="L14" s="144"/>
      <c r="M14" s="25">
        <f t="shared" si="23"/>
        <v>0.94645631550434539</v>
      </c>
      <c r="N14" s="33">
        <f t="shared" si="24"/>
        <v>0.87437173054847139</v>
      </c>
      <c r="O14" s="33">
        <f t="shared" si="1"/>
        <v>7.2685774960237121E-2</v>
      </c>
      <c r="P14" s="52">
        <f t="shared" si="25"/>
        <v>4.048264157625827E-2</v>
      </c>
      <c r="Q14" s="53">
        <f t="shared" si="2"/>
        <v>0.25524320449864096</v>
      </c>
      <c r="R14" s="82">
        <f t="shared" si="3"/>
        <v>3.9446209371073369E-2</v>
      </c>
      <c r="S14" s="6">
        <f t="shared" si="26"/>
        <v>7.1013418348230051E-2</v>
      </c>
      <c r="T14" s="9">
        <f t="shared" si="4"/>
        <v>0.24870849562104316</v>
      </c>
      <c r="U14" s="60">
        <f t="shared" si="5"/>
        <v>97.444504495050182</v>
      </c>
      <c r="V14" s="58">
        <f t="shared" si="6"/>
        <v>0.99995183243396912</v>
      </c>
      <c r="W14" s="61">
        <f t="shared" si="7"/>
        <v>97.439810830445566</v>
      </c>
      <c r="X14" s="60">
        <f t="shared" si="27"/>
        <v>97.239746566050329</v>
      </c>
      <c r="Y14" s="58">
        <f t="shared" si="8"/>
        <v>0.99989399694272663</v>
      </c>
      <c r="Z14" s="61">
        <f t="shared" si="9"/>
        <v>97.229438855625844</v>
      </c>
      <c r="AB14" s="25">
        <f t="shared" si="10"/>
        <v>0.73450908566520889</v>
      </c>
      <c r="AC14" s="76">
        <f t="shared" si="34"/>
        <v>0.6785669553004483</v>
      </c>
      <c r="AD14" s="33">
        <f t="shared" si="28"/>
        <v>7.2685774960237121E-2</v>
      </c>
      <c r="AE14" s="52">
        <f t="shared" si="35"/>
        <v>4.048264157625827E-2</v>
      </c>
      <c r="AF14" s="53">
        <f t="shared" si="29"/>
        <v>0.25524320449864096</v>
      </c>
      <c r="AG14" s="82">
        <f t="shared" si="11"/>
        <v>3.9674967171494352E-2</v>
      </c>
      <c r="AH14" s="6">
        <f>AH13+AG14</f>
        <v>7.1382435327201343E-2</v>
      </c>
      <c r="AI14" s="9">
        <f>IF(F14=F13,0,AG14/(F14-F13)*H14)</f>
        <v>0.25015081439669723</v>
      </c>
      <c r="AJ14" s="60">
        <f t="shared" si="13"/>
        <v>98.005183185534861</v>
      </c>
      <c r="AK14" s="58">
        <f t="shared" si="14"/>
        <v>0.99999697886835237</v>
      </c>
      <c r="AL14" s="61">
        <f t="shared" si="15"/>
        <v>98.004887098974308</v>
      </c>
      <c r="AN14" s="166">
        <f t="shared" si="16"/>
        <v>3.2529911505043568E-7</v>
      </c>
      <c r="AO14" s="167">
        <f t="shared" si="31"/>
        <v>1.8537519180222039E-3</v>
      </c>
      <c r="AP14" s="299">
        <f t="shared" si="17"/>
        <v>0.98146248081977805</v>
      </c>
      <c r="AQ14" s="168">
        <f t="shared" si="18"/>
        <v>1.8060088105260153E-2</v>
      </c>
      <c r="AR14" s="168">
        <f t="shared" si="36"/>
        <v>98.146248081977802</v>
      </c>
      <c r="AS14" s="169">
        <f t="shared" si="19"/>
        <v>3.9732193831572331E-2</v>
      </c>
      <c r="AT14" s="168">
        <f t="shared" si="32"/>
        <v>7.1575019014876395E-2</v>
      </c>
      <c r="AU14" s="170">
        <f t="shared" si="33"/>
        <v>0.25051162869962612</v>
      </c>
    </row>
    <row r="15" spans="2:49" x14ac:dyDescent="0.2">
      <c r="B15" s="34">
        <f>IF(AND((G15-B$6)*(G14-B$6)&lt;=0,ISNUMBER(SWeRF!C16)),(F14+(B$6-G14)*(F15-F14)/(G15-G14)),0)</f>
        <v>0</v>
      </c>
      <c r="C15" s="34">
        <f>IF(AND((G15-C$6)*(G14-C$6)&lt;=0,ISNUMBER(SWeRF!C16)),(F14+(C$6-G14)*(F15-F14)/(G15-G14)),0)</f>
        <v>0</v>
      </c>
      <c r="D15" s="322">
        <f>IF(AND((G15-D$6)*(G14-D$6)&lt;=0,ISNUMBER(SWeRF!C16)),(F14+(D$6-G14)*(F15-F14)/(G15-G14)),0)</f>
        <v>0</v>
      </c>
      <c r="E15" s="34">
        <f>IF(AND((G15-E$6)*(G14-E$6)&lt;=0,ISNUMBER(SWeRF!C16)),(F14+(E$6-G14)*(F15-F14)/(G15-G14)),0)</f>
        <v>0</v>
      </c>
      <c r="F15" s="100">
        <f>IF(ISNUMBER(SWeRF!C16),SWeRF!C16,F14)</f>
        <v>0.52071919053075166</v>
      </c>
      <c r="G15" s="32">
        <f>IF(ISNUMBER(SWeRF!D16),SWeRF!D16,G14)</f>
        <v>0.14551996634625147</v>
      </c>
      <c r="H15" s="76">
        <f t="shared" si="20"/>
        <v>0.48471773415081176</v>
      </c>
      <c r="I15" s="35">
        <f t="shared" si="21"/>
        <v>7.2834191386014352E-2</v>
      </c>
      <c r="J15" s="35">
        <f t="shared" si="22"/>
        <v>0.1502610411265729</v>
      </c>
      <c r="K15" s="36">
        <f t="shared" si="0"/>
        <v>0.50787039246273202</v>
      </c>
      <c r="L15" s="144"/>
      <c r="M15" s="25">
        <f t="shared" si="23"/>
        <v>1.0922697888813027</v>
      </c>
      <c r="N15" s="33">
        <f t="shared" si="24"/>
        <v>1.0167524968847172</v>
      </c>
      <c r="O15" s="33">
        <f t="shared" si="1"/>
        <v>0.14551996634625147</v>
      </c>
      <c r="P15" s="52">
        <f t="shared" si="25"/>
        <v>7.2834191386014352E-2</v>
      </c>
      <c r="Q15" s="53">
        <f t="shared" si="2"/>
        <v>0.50787039246273236</v>
      </c>
      <c r="R15" s="82">
        <f t="shared" si="3"/>
        <v>7.0664147898056667E-2</v>
      </c>
      <c r="S15" s="6">
        <f t="shared" si="26"/>
        <v>0.14167756624628672</v>
      </c>
      <c r="T15" s="9">
        <f t="shared" si="4"/>
        <v>0.49273875144472118</v>
      </c>
      <c r="U15" s="60">
        <f t="shared" si="5"/>
        <v>97.040919736232809</v>
      </c>
      <c r="V15" s="58">
        <f t="shared" si="6"/>
        <v>0.99979030105352773</v>
      </c>
      <c r="W15" s="61">
        <f t="shared" si="7"/>
        <v>97.020570357599425</v>
      </c>
      <c r="X15" s="60">
        <f t="shared" si="27"/>
        <v>96.828257717569556</v>
      </c>
      <c r="Y15" s="58">
        <f t="shared" si="8"/>
        <v>0.99959721019915715</v>
      </c>
      <c r="Z15" s="61">
        <f t="shared" si="9"/>
        <v>96.789256282927539</v>
      </c>
      <c r="AB15" s="25">
        <f t="shared" si="10"/>
        <v>0.84766942835963666</v>
      </c>
      <c r="AC15" s="76">
        <f t="shared" si="34"/>
        <v>0.78906330339890163</v>
      </c>
      <c r="AD15" s="33">
        <f t="shared" si="28"/>
        <v>0.14551996634625147</v>
      </c>
      <c r="AE15" s="52">
        <f t="shared" si="35"/>
        <v>7.2834191386014352E-2</v>
      </c>
      <c r="AF15" s="53">
        <f t="shared" si="29"/>
        <v>0.50787039246273236</v>
      </c>
      <c r="AG15" s="82">
        <f t="shared" si="11"/>
        <v>7.11490762572419E-2</v>
      </c>
      <c r="AH15" s="6">
        <f t="shared" si="30"/>
        <v>0.14253151158444324</v>
      </c>
      <c r="AI15" s="9">
        <f t="shared" si="12"/>
        <v>0.49612014075390493</v>
      </c>
      <c r="AJ15" s="60">
        <f t="shared" si="13"/>
        <v>97.687972021772708</v>
      </c>
      <c r="AK15" s="58">
        <f t="shared" si="14"/>
        <v>0.99998358057347048</v>
      </c>
      <c r="AL15" s="61">
        <f t="shared" si="15"/>
        <v>97.686368041293278</v>
      </c>
      <c r="AN15" s="166">
        <f t="shared" si="16"/>
        <v>4.3986677707205639E-7</v>
      </c>
      <c r="AO15" s="167">
        <f t="shared" si="31"/>
        <v>2.5066280353856674E-3</v>
      </c>
      <c r="AP15" s="299">
        <f t="shared" si="17"/>
        <v>0.97493371964614339</v>
      </c>
      <c r="AQ15" s="168">
        <f t="shared" si="18"/>
        <v>3.2276595056993672E-2</v>
      </c>
      <c r="AR15" s="168">
        <f t="shared" si="36"/>
        <v>97.49337196461434</v>
      </c>
      <c r="AS15" s="169">
        <f t="shared" si="19"/>
        <v>7.1008509125386074E-2</v>
      </c>
      <c r="AT15" s="168">
        <f t="shared" si="32"/>
        <v>0.14258352814026248</v>
      </c>
      <c r="AU15" s="170">
        <f t="shared" si="33"/>
        <v>0.49513997082183808</v>
      </c>
    </row>
    <row r="16" spans="2:49" x14ac:dyDescent="0.2">
      <c r="B16" s="34">
        <f>IF(AND((G16-B$6)*(G15-B$6)&lt;=0,ISNUMBER(SWeRF!C17)),(F15+(B$6-G15)*(F16-F15)/(G16-G15)),0)</f>
        <v>0</v>
      </c>
      <c r="C16" s="34">
        <f>IF(AND((G16-C$6)*(G15-C$6)&lt;=0,ISNUMBER(SWeRF!C17)),(F15+(C$6-G15)*(F16-F15)/(G16-G15)),0)</f>
        <v>0</v>
      </c>
      <c r="D16" s="322">
        <f>IF(AND((G16-D$6)*(G15-D$6)&lt;=0,ISNUMBER(SWeRF!C17)),(F15+(D$6-G15)*(F16-F15)/(G16-G15)),0)</f>
        <v>0</v>
      </c>
      <c r="E16" s="34">
        <f>IF(AND((G16-E$6)*(G15-E$6)&lt;=0,ISNUMBER(SWeRF!C17)),(F15+(E$6-G15)*(F16-F15)/(G16-G15)),0)</f>
        <v>0</v>
      </c>
      <c r="F16" s="100">
        <f>IF(ISNUMBER(SWeRF!C17),SWeRF!C17,F15)</f>
        <v>0.59380923219215076</v>
      </c>
      <c r="G16" s="32">
        <f>IF(ISNUMBER(SWeRF!D17),SWeRF!D17,G15)</f>
        <v>0.265539257177274</v>
      </c>
      <c r="H16" s="76">
        <f t="shared" si="20"/>
        <v>0.5560646209900284</v>
      </c>
      <c r="I16" s="35">
        <f t="shared" si="21"/>
        <v>0.12001929083102253</v>
      </c>
      <c r="J16" s="35">
        <f t="shared" si="22"/>
        <v>0.21583694826212432</v>
      </c>
      <c r="K16" s="36">
        <f t="shared" si="0"/>
        <v>0.91309951329102879</v>
      </c>
      <c r="L16" s="144"/>
      <c r="M16" s="25">
        <f t="shared" si="23"/>
        <v>1.2455847536965035</v>
      </c>
      <c r="N16" s="33">
        <f t="shared" si="24"/>
        <v>1.1664109892974472</v>
      </c>
      <c r="O16" s="33">
        <f t="shared" si="1"/>
        <v>0.265539257177274</v>
      </c>
      <c r="P16" s="52">
        <f t="shared" si="25"/>
        <v>0.12001929083102253</v>
      </c>
      <c r="Q16" s="53">
        <f t="shared" si="2"/>
        <v>0.91309951329102867</v>
      </c>
      <c r="R16" s="82">
        <f t="shared" si="3"/>
        <v>0.11588031961979006</v>
      </c>
      <c r="S16" s="6">
        <f t="shared" si="26"/>
        <v>0.25755788586607675</v>
      </c>
      <c r="T16" s="9">
        <f>IF(F16=F15,0,R16/(F16-F15)*H16)</f>
        <v>0.88161047038522733</v>
      </c>
      <c r="U16" s="60">
        <f t="shared" si="5"/>
        <v>96.620406176779909</v>
      </c>
      <c r="V16" s="58">
        <f>1-LOGNORMDIST(N16,LN(M),LN(S))</f>
        <v>0.99928592239375658</v>
      </c>
      <c r="W16" s="61">
        <f t="shared" si="7"/>
        <v>96.551411708422933</v>
      </c>
      <c r="X16" s="60">
        <f t="shared" si="27"/>
        <v>96.399464592289434</v>
      </c>
      <c r="Y16" s="58">
        <f t="shared" si="8"/>
        <v>0.99876473796121112</v>
      </c>
      <c r="Z16" s="61">
        <f t="shared" si="9"/>
        <v>96.280385993119012</v>
      </c>
      <c r="AB16" s="25">
        <f t="shared" si="10"/>
        <v>0.96665139591637361</v>
      </c>
      <c r="AC16" s="76">
        <f>SQRT(AB16*AB15)</f>
        <v>0.90520762049348502</v>
      </c>
      <c r="AD16" s="33">
        <f t="shared" si="28"/>
        <v>0.265539257177274</v>
      </c>
      <c r="AE16" s="52">
        <f t="shared" si="35"/>
        <v>0.12001929083102253</v>
      </c>
      <c r="AF16" s="53">
        <f t="shared" si="29"/>
        <v>0.91309951329102834</v>
      </c>
      <c r="AG16" s="82">
        <f t="shared" si="11"/>
        <v>0.11683896488351088</v>
      </c>
      <c r="AH16" s="6">
        <f t="shared" si="30"/>
        <v>0.25937047646795414</v>
      </c>
      <c r="AI16" s="9">
        <f t="shared" si="12"/>
        <v>0.88890378563197903</v>
      </c>
      <c r="AJ16" s="60">
        <f t="shared" si="13"/>
        <v>97.356806036720627</v>
      </c>
      <c r="AK16" s="58">
        <f t="shared" si="14"/>
        <v>0.99993167731276145</v>
      </c>
      <c r="AL16" s="61">
        <f t="shared" si="15"/>
        <v>97.35015435811124</v>
      </c>
      <c r="AN16" s="166">
        <f t="shared" si="16"/>
        <v>5.788870993867404E-7</v>
      </c>
      <c r="AO16" s="167">
        <f t="shared" si="31"/>
        <v>3.298850261674092E-3</v>
      </c>
      <c r="AP16" s="299">
        <f t="shared" si="17"/>
        <v>0.96701149738325909</v>
      </c>
      <c r="AQ16" s="168">
        <f t="shared" si="18"/>
        <v>5.2754560973356346E-2</v>
      </c>
      <c r="AR16" s="168">
        <f t="shared" si="36"/>
        <v>96.70114973832591</v>
      </c>
      <c r="AS16" s="169">
        <f t="shared" si="19"/>
        <v>0.11606003414138395</v>
      </c>
      <c r="AT16" s="168">
        <f t="shared" si="32"/>
        <v>0.25864356228164642</v>
      </c>
      <c r="AU16" s="170">
        <f t="shared" si="33"/>
        <v>0.88297772760748283</v>
      </c>
    </row>
    <row r="17" spans="2:47" x14ac:dyDescent="0.2">
      <c r="B17" s="34">
        <f>IF(AND((G17-B$6)*(G16-B$6)&lt;=0,ISNUMBER(SWeRF!C18)),(F16+(B$6-G16)*(F17-F16)/(G17-G16)),0)</f>
        <v>0</v>
      </c>
      <c r="C17" s="34">
        <f>IF(AND((G17-C$6)*(G16-C$6)&lt;=0,ISNUMBER(SWeRF!C18)),(F16+(C$6-G16)*(F17-F16)/(G17-G16)),0)</f>
        <v>0</v>
      </c>
      <c r="D17" s="322">
        <f>IF(AND((G17-D$6)*(G16-D$6)&lt;=0,ISNUMBER(SWeRF!C18)),(F16+(D$6-G16)*(F17-F16)/(G17-G16)),0)</f>
        <v>0</v>
      </c>
      <c r="E17" s="34">
        <f>IF(AND((G17-E$6)*(G16-E$6)&lt;=0,ISNUMBER(SWeRF!C18)),(F16+(E$6-G16)*(F17-F16)/(G17-G16)),0)</f>
        <v>0</v>
      </c>
      <c r="F17" s="100">
        <f>IF(ISNUMBER(SWeRF!C18),SWeRF!C18,F16)</f>
        <v>0.67065944984446435</v>
      </c>
      <c r="G17" s="32">
        <f>IF(ISNUMBER(SWeRF!D18),SWeRF!D18,G16)</f>
        <v>0.45010862084684017</v>
      </c>
      <c r="H17" s="76">
        <f t="shared" si="20"/>
        <v>0.63106558531942747</v>
      </c>
      <c r="I17" s="35">
        <f t="shared" si="21"/>
        <v>0.18456936366956617</v>
      </c>
      <c r="J17" s="35">
        <f t="shared" si="22"/>
        <v>0.29247255430058416</v>
      </c>
      <c r="K17" s="36">
        <f t="shared" si="0"/>
        <v>1.5156154019384553</v>
      </c>
      <c r="L17" s="144"/>
      <c r="M17" s="25">
        <f t="shared" si="23"/>
        <v>1.4067871302116004</v>
      </c>
      <c r="N17" s="33">
        <f t="shared" si="24"/>
        <v>1.3237343393173826</v>
      </c>
      <c r="O17" s="33">
        <f t="shared" si="1"/>
        <v>0.45010862084684017</v>
      </c>
      <c r="P17" s="52">
        <f t="shared" si="25"/>
        <v>0.18456936366956617</v>
      </c>
      <c r="Q17" s="53">
        <f t="shared" si="2"/>
        <v>1.5156154019384556</v>
      </c>
      <c r="R17" s="82">
        <f t="shared" si="3"/>
        <v>0.17716673230716587</v>
      </c>
      <c r="S17" s="6">
        <f t="shared" si="26"/>
        <v>0.43472461817324259</v>
      </c>
      <c r="T17" s="9">
        <f t="shared" si="4"/>
        <v>1.4548277290296792</v>
      </c>
      <c r="U17" s="60">
        <f t="shared" si="5"/>
        <v>96.18240794074822</v>
      </c>
      <c r="V17" s="58">
        <f t="shared" si="6"/>
        <v>0.99799166602417655</v>
      </c>
      <c r="W17" s="61">
        <f t="shared" si="7"/>
        <v>95.989241543004297</v>
      </c>
      <c r="X17" s="60">
        <f t="shared" si="27"/>
        <v>95.952845717107024</v>
      </c>
      <c r="Y17" s="58">
        <f t="shared" si="8"/>
        <v>0.99680212981678262</v>
      </c>
      <c r="Z17" s="61">
        <f t="shared" si="9"/>
        <v>95.646000972793431</v>
      </c>
      <c r="AB17" s="25">
        <f t="shared" si="10"/>
        <v>1.0917544865096964</v>
      </c>
      <c r="AC17" s="76">
        <f t="shared" si="34"/>
        <v>1.0273003447787612</v>
      </c>
      <c r="AD17" s="33">
        <f t="shared" si="28"/>
        <v>0.45010862084684017</v>
      </c>
      <c r="AE17" s="52">
        <f t="shared" si="35"/>
        <v>0.18456936366956617</v>
      </c>
      <c r="AF17" s="53">
        <f t="shared" si="29"/>
        <v>1.5156154019384549</v>
      </c>
      <c r="AG17" s="82">
        <f t="shared" si="11"/>
        <v>0.17901155366543095</v>
      </c>
      <c r="AH17" s="6">
        <f t="shared" si="30"/>
        <v>0.43838203013338506</v>
      </c>
      <c r="AI17" s="9">
        <f t="shared" si="12"/>
        <v>1.4699767202209655</v>
      </c>
      <c r="AJ17" s="60">
        <f t="shared" si="13"/>
        <v>97.011158326820322</v>
      </c>
      <c r="AK17" s="58">
        <f t="shared" si="14"/>
        <v>0.99976920813891546</v>
      </c>
      <c r="AL17" s="61">
        <f t="shared" si="15"/>
        <v>96.988768941044114</v>
      </c>
      <c r="AN17" s="166">
        <f t="shared" si="16"/>
        <v>7.4557671516014792E-7</v>
      </c>
      <c r="AO17" s="167">
        <f t="shared" si="31"/>
        <v>4.2487489261891481E-3</v>
      </c>
      <c r="AP17" s="299">
        <f t="shared" si="17"/>
        <v>0.9575125107381085</v>
      </c>
      <c r="AQ17" s="168">
        <f t="shared" si="18"/>
        <v>8.033067036935515E-2</v>
      </c>
      <c r="AR17" s="168">
        <f>AP17*100</f>
        <v>95.751251073810849</v>
      </c>
      <c r="AS17" s="169">
        <f t="shared" si="19"/>
        <v>0.17672747481258133</v>
      </c>
      <c r="AT17" s="168">
        <f t="shared" si="32"/>
        <v>0.43537103709422775</v>
      </c>
      <c r="AU17" s="170">
        <f t="shared" si="33"/>
        <v>1.4512207088234381</v>
      </c>
    </row>
    <row r="18" spans="2:47" x14ac:dyDescent="0.2">
      <c r="B18" s="34">
        <f>IF(AND((G18-B$6)*(G17-B$6)&lt;=0,ISNUMBER(SWeRF!C19)),(F17+(B$6-G17)*(F18-F17)/(G18-G17)),0)</f>
        <v>0</v>
      </c>
      <c r="C18" s="34">
        <f>IF(AND((G18-C$6)*(G17-C$6)&lt;=0,ISNUMBER(SWeRF!C19)),(F17+(C$6-G17)*(F18-F17)/(G18-G17)),0)</f>
        <v>0</v>
      </c>
      <c r="D18" s="322">
        <f>IF(AND((G18-D$6)*(G17-D$6)&lt;=0,ISNUMBER(SWeRF!C19)),(F17+(D$6-G17)*(F18-F17)/(G18-G17)),0)</f>
        <v>0</v>
      </c>
      <c r="E18" s="34">
        <f>IF(AND((G18-E$6)*(G17-E$6)&lt;=0,ISNUMBER(SWeRF!C19)),(F17+(E$6-G17)*(F18-F17)/(G18-G17)),0)</f>
        <v>0</v>
      </c>
      <c r="F18" s="100">
        <f>IF(ISNUMBER(SWeRF!C19),SWeRF!C19,F17)</f>
        <v>0.75146328876643709</v>
      </c>
      <c r="G18" s="32">
        <f>IF(ISNUMBER(SWeRF!D19),SWeRF!D19,G17)</f>
        <v>0.71855859313815984</v>
      </c>
      <c r="H18" s="76">
        <f t="shared" si="20"/>
        <v>0.70991263957082107</v>
      </c>
      <c r="I18" s="35">
        <f t="shared" si="21"/>
        <v>0.26844997229131967</v>
      </c>
      <c r="J18" s="35">
        <f t="shared" si="22"/>
        <v>0.37814508057443741</v>
      </c>
      <c r="K18" s="36">
        <f t="shared" si="0"/>
        <v>2.3585021573798244</v>
      </c>
      <c r="L18" s="144"/>
      <c r="M18" s="25">
        <f t="shared" si="23"/>
        <v>1.5762826926665618</v>
      </c>
      <c r="N18" s="33">
        <f t="shared" si="24"/>
        <v>1.4891253156194098</v>
      </c>
      <c r="O18" s="33">
        <f t="shared" si="1"/>
        <v>0.71855859313815984</v>
      </c>
      <c r="P18" s="52">
        <f t="shared" si="25"/>
        <v>0.26844997229131967</v>
      </c>
      <c r="Q18" s="53">
        <f t="shared" si="2"/>
        <v>2.3585021573798235</v>
      </c>
      <c r="R18" s="82">
        <f t="shared" si="3"/>
        <v>0.25573162845704234</v>
      </c>
      <c r="S18" s="6">
        <f t="shared" si="26"/>
        <v>0.69045624663028493</v>
      </c>
      <c r="T18" s="9">
        <f t="shared" si="4"/>
        <v>2.246763492944837</v>
      </c>
      <c r="U18" s="60">
        <f t="shared" si="5"/>
        <v>95.726385132466788</v>
      </c>
      <c r="V18" s="58">
        <f t="shared" si="6"/>
        <v>0.99515200308279161</v>
      </c>
      <c r="W18" s="61">
        <f t="shared" si="7"/>
        <v>95.262303912449084</v>
      </c>
      <c r="X18" s="60">
        <f t="shared" si="27"/>
        <v>95.487885777933528</v>
      </c>
      <c r="Y18" s="58">
        <f t="shared" si="8"/>
        <v>0.99278149928901938</v>
      </c>
      <c r="Z18" s="61">
        <f t="shared" si="9"/>
        <v>94.798606406555479</v>
      </c>
      <c r="AB18" s="25">
        <f t="shared" si="10"/>
        <v>1.2232936062383897</v>
      </c>
      <c r="AC18" s="76">
        <f t="shared" si="34"/>
        <v>1.155654049847699</v>
      </c>
      <c r="AD18" s="33">
        <f t="shared" si="28"/>
        <v>0.71855859313815984</v>
      </c>
      <c r="AE18" s="52">
        <f t="shared" si="35"/>
        <v>0.26844997229131967</v>
      </c>
      <c r="AF18" s="53">
        <f t="shared" si="29"/>
        <v>2.3585021573798253</v>
      </c>
      <c r="AG18" s="82">
        <f t="shared" si="11"/>
        <v>0.2592871045706408</v>
      </c>
      <c r="AH18" s="6">
        <f t="shared" si="30"/>
        <v>0.69766913470402581</v>
      </c>
      <c r="AI18" s="9">
        <f t="shared" si="12"/>
        <v>2.2780005909145635</v>
      </c>
      <c r="AJ18" s="60">
        <f>50*(1+EXP(-0.06*AC18))</f>
        <v>96.650505462202773</v>
      </c>
      <c r="AK18" s="58">
        <f t="shared" si="14"/>
        <v>0.9993403541468534</v>
      </c>
      <c r="AL18" s="61">
        <f t="shared" si="15"/>
        <v>96.586750357070102</v>
      </c>
      <c r="AN18" s="166">
        <f t="shared" si="16"/>
        <v>9.4352445200889556E-7</v>
      </c>
      <c r="AO18" s="167">
        <f t="shared" si="31"/>
        <v>5.3767753482549677E-3</v>
      </c>
      <c r="AP18" s="299">
        <f t="shared" si="17"/>
        <v>0.9462322465174503</v>
      </c>
      <c r="AQ18" s="168">
        <f t="shared" si="18"/>
        <v>0.11546182743580123</v>
      </c>
      <c r="AR18" s="168">
        <f t="shared" si="36"/>
        <v>94.623224651745033</v>
      </c>
      <c r="AS18" s="169">
        <f>I18*AP18</f>
        <v>0.2540160203587627</v>
      </c>
      <c r="AT18" s="168">
        <f t="shared" si="32"/>
        <v>0.68938705745299045</v>
      </c>
      <c r="AU18" s="170">
        <f t="shared" si="33"/>
        <v>2.2316907947937641</v>
      </c>
    </row>
    <row r="19" spans="2:47" x14ac:dyDescent="0.2">
      <c r="B19" s="34">
        <f>IF(AND((G19-B$6)*(G18-B$6)&lt;=0,ISNUMBER(SWeRF!C20)),(F18+(B$6-G18)*(F19-F18)/(G19-G18)),0)</f>
        <v>0</v>
      </c>
      <c r="C19" s="34">
        <f>IF(AND((G19-C$6)*(G18-C$6)&lt;=0,ISNUMBER(SWeRF!C20)),(F18+(C$6-G18)*(F19-F18)/(G19-G18)),0)</f>
        <v>0</v>
      </c>
      <c r="D19" s="322">
        <f>IF(AND((G19-D$6)*(G18-D$6)&lt;=0,ISNUMBER(SWeRF!C20)),(F18+(D$6-G18)*(F19-F18)/(G19-G18)),0)</f>
        <v>0</v>
      </c>
      <c r="E19" s="34">
        <f>IF(AND((G19-E$6)*(G18-E$6)&lt;=0,ISNUMBER(SWeRF!C20)),(F18+(E$6-G18)*(F19-F18)/(G19-G18)),0)</f>
        <v>0</v>
      </c>
      <c r="F19" s="100">
        <f>IF(ISNUMBER(SWeRF!C20),SWeRF!C20,F18)</f>
        <v>0.83642414618479644</v>
      </c>
      <c r="G19" s="32">
        <f>IF(ISNUMBER(SWeRF!D20),SWeRF!D20,G18)</f>
        <v>1.0914872149009542</v>
      </c>
      <c r="H19" s="76">
        <f t="shared" si="20"/>
        <v>0.79280643267804418</v>
      </c>
      <c r="I19" s="35">
        <f t="shared" si="21"/>
        <v>0.3729286217627944</v>
      </c>
      <c r="J19" s="35">
        <f t="shared" si="22"/>
        <v>0.47039050945016658</v>
      </c>
      <c r="K19" s="36">
        <f t="shared" si="0"/>
        <v>3.4799579388356183</v>
      </c>
      <c r="L19" s="144"/>
      <c r="M19" s="25">
        <f t="shared" si="23"/>
        <v>1.7544980906835577</v>
      </c>
      <c r="N19" s="33">
        <f t="shared" si="24"/>
        <v>1.6630048029578928</v>
      </c>
      <c r="O19" s="33">
        <f t="shared" si="1"/>
        <v>1.0914872149009542</v>
      </c>
      <c r="P19" s="52">
        <f t="shared" si="25"/>
        <v>0.3729286217627944</v>
      </c>
      <c r="Q19" s="53">
        <f t="shared" si="2"/>
        <v>3.4799579388356205</v>
      </c>
      <c r="R19" s="82">
        <f t="shared" si="3"/>
        <v>0.35155158345355636</v>
      </c>
      <c r="S19" s="6">
        <f t="shared" si="26"/>
        <v>1.0420078300838413</v>
      </c>
      <c r="T19" s="9">
        <f t="shared" si="4"/>
        <v>3.2804795672872329</v>
      </c>
      <c r="U19" s="60">
        <f t="shared" si="5"/>
        <v>95.251812167775157</v>
      </c>
      <c r="V19" s="58">
        <f t="shared" si="6"/>
        <v>0.98966929298886519</v>
      </c>
      <c r="W19" s="61">
        <f t="shared" si="7"/>
        <v>94.267793603990228</v>
      </c>
      <c r="X19" s="60">
        <f t="shared" si="27"/>
        <v>95.004078544573474</v>
      </c>
      <c r="Y19" s="58">
        <f t="shared" si="8"/>
        <v>0.98544626104435973</v>
      </c>
      <c r="Z19" s="61">
        <f t="shared" si="9"/>
        <v>93.621413985714611</v>
      </c>
      <c r="AB19" s="25">
        <f t="shared" si="10"/>
        <v>1.3615998617988174</v>
      </c>
      <c r="AC19" s="76">
        <f t="shared" si="34"/>
        <v>1.290595368499968</v>
      </c>
      <c r="AD19" s="33">
        <f t="shared" si="28"/>
        <v>1.0914872149009542</v>
      </c>
      <c r="AE19" s="52">
        <f t="shared" si="35"/>
        <v>0.3729286217627944</v>
      </c>
      <c r="AF19" s="53">
        <f t="shared" si="29"/>
        <v>3.4799579388356214</v>
      </c>
      <c r="AG19" s="82">
        <f t="shared" si="11"/>
        <v>0.35844413445952417</v>
      </c>
      <c r="AH19" s="6">
        <f t="shared" si="30"/>
        <v>1.05611326916355</v>
      </c>
      <c r="AI19" s="9">
        <f t="shared" si="12"/>
        <v>3.3447969357924143</v>
      </c>
      <c r="AJ19" s="60">
        <f t="shared" si="13"/>
        <v>96.274325540246281</v>
      </c>
      <c r="AK19" s="58">
        <f>1-LOGNORMDIST(AC19,LN(M),LN(S))</f>
        <v>0.99835564308192237</v>
      </c>
      <c r="AL19" s="61">
        <f>AK19*AJ19</f>
        <v>96.116016187010914</v>
      </c>
      <c r="AN19" s="166">
        <f t="shared" si="16"/>
        <v>1.1767322958903242E-6</v>
      </c>
      <c r="AO19" s="167">
        <f t="shared" si="31"/>
        <v>6.7057352743402077E-3</v>
      </c>
      <c r="AP19" s="299">
        <f t="shared" si="17"/>
        <v>0.93294264725659792</v>
      </c>
      <c r="AQ19" s="168">
        <f t="shared" si="18"/>
        <v>0.15814591619324361</v>
      </c>
      <c r="AR19" s="168">
        <f t="shared" si="36"/>
        <v>93.294264725659787</v>
      </c>
      <c r="AS19" s="169">
        <f t="shared" si="19"/>
        <v>0.34792101562513594</v>
      </c>
      <c r="AT19" s="168">
        <f>AT18+AS19</f>
        <v>1.0373080730781263</v>
      </c>
      <c r="AU19" s="170">
        <f t="shared" si="33"/>
        <v>3.2466011717989161</v>
      </c>
    </row>
    <row r="20" spans="2:47" x14ac:dyDescent="0.2">
      <c r="B20" s="34">
        <f>IF(AND((G20-B$6)*(G19-B$6)&lt;=0,ISNUMBER(SWeRF!C21)),(F19+(B$6-G19)*(F20-F19)/(G20-G19)),0)</f>
        <v>0</v>
      </c>
      <c r="C20" s="34">
        <f>IF(AND((G20-C$6)*(G19-C$6)&lt;=0,ISNUMBER(SWeRF!C21)),(F19+(C$6-G19)*(F20-F19)/(G20-G19)),0)</f>
        <v>0</v>
      </c>
      <c r="D20" s="322">
        <f>IF(AND((G20-D$6)*(G19-D$6)&lt;=0,ISNUMBER(SWeRF!C21)),(F19+(D$6-G19)*(F20-F19)/(G20-G19)),0)</f>
        <v>0</v>
      </c>
      <c r="E20" s="34">
        <f>IF(AND((G20-E$6)*(G19-E$6)&lt;=0,ISNUMBER(SWeRF!C21)),(F19+(E$6-G19)*(F20-F19)/(G20-G19)),0)</f>
        <v>0</v>
      </c>
      <c r="F20" s="100">
        <f>IF(ISNUMBER(SWeRF!C21),SWeRF!C21,F19)</f>
        <v>0.92575588326022318</v>
      </c>
      <c r="G20" s="32">
        <f>IF(ISNUMBER(SWeRF!D21),SWeRF!D21,G19)</f>
        <v>1.5899817910373093</v>
      </c>
      <c r="H20" s="76">
        <f t="shared" si="20"/>
        <v>0.8799571434061344</v>
      </c>
      <c r="I20" s="35">
        <f t="shared" si="21"/>
        <v>0.49849457613635506</v>
      </c>
      <c r="J20" s="35">
        <f t="shared" si="22"/>
        <v>0.56649869811475628</v>
      </c>
      <c r="K20" s="36">
        <f t="shared" si="0"/>
        <v>4.9103921806650179</v>
      </c>
      <c r="L20" s="144"/>
      <c r="M20" s="25">
        <f t="shared" si="23"/>
        <v>1.941881923217792</v>
      </c>
      <c r="N20" s="33">
        <f t="shared" si="24"/>
        <v>1.8458136760297694</v>
      </c>
      <c r="O20" s="33">
        <f t="shared" si="1"/>
        <v>1.5899817910373093</v>
      </c>
      <c r="P20" s="52">
        <f t="shared" si="25"/>
        <v>0.49849457613635506</v>
      </c>
      <c r="Q20" s="53">
        <f t="shared" si="2"/>
        <v>4.9103921806650188</v>
      </c>
      <c r="R20" s="82">
        <f t="shared" si="3"/>
        <v>0.46298879355668388</v>
      </c>
      <c r="S20" s="6">
        <f t="shared" si="26"/>
        <v>1.5049966236405252</v>
      </c>
      <c r="T20" s="9">
        <f t="shared" si="4"/>
        <v>4.5606445093886112</v>
      </c>
      <c r="U20" s="60">
        <f t="shared" si="5"/>
        <v>94.758178368746314</v>
      </c>
      <c r="V20" s="58">
        <f t="shared" si="6"/>
        <v>0.98015179284942178</v>
      </c>
      <c r="W20" s="61">
        <f t="shared" si="7"/>
        <v>92.877398415271998</v>
      </c>
      <c r="X20" s="60">
        <f t="shared" si="27"/>
        <v>94.500930098118232</v>
      </c>
      <c r="Y20" s="58">
        <f t="shared" si="8"/>
        <v>0.97330545357069265</v>
      </c>
      <c r="Z20" s="61">
        <f t="shared" si="9"/>
        <v>91.978270632001284</v>
      </c>
      <c r="AB20" s="25">
        <f t="shared" si="10"/>
        <v>1.5070213939376995</v>
      </c>
      <c r="AC20" s="76">
        <f t="shared" si="34"/>
        <v>1.4324664469764843</v>
      </c>
      <c r="AD20" s="33">
        <f t="shared" si="28"/>
        <v>1.5899817910373093</v>
      </c>
      <c r="AE20" s="52">
        <f t="shared" si="35"/>
        <v>0.49849457613635506</v>
      </c>
      <c r="AF20" s="53">
        <f t="shared" si="29"/>
        <v>4.910392180665017</v>
      </c>
      <c r="AG20" s="82">
        <f t="shared" si="11"/>
        <v>0.47621891640674074</v>
      </c>
      <c r="AH20" s="6">
        <f t="shared" si="30"/>
        <v>1.5323321855702907</v>
      </c>
      <c r="AI20" s="9">
        <f t="shared" si="12"/>
        <v>4.6909670743715184</v>
      </c>
      <c r="AJ20" s="60">
        <f t="shared" si="13"/>
        <v>95.882097972829953</v>
      </c>
      <c r="AK20" s="58">
        <f t="shared" si="14"/>
        <v>0.99634254820548662</v>
      </c>
      <c r="AL20" s="61">
        <f t="shared" si="15"/>
        <v>95.531413821537512</v>
      </c>
      <c r="AN20" s="166">
        <f t="shared" si="16"/>
        <v>1.4496607648405888E-6</v>
      </c>
      <c r="AO20" s="167">
        <f t="shared" si="31"/>
        <v>8.2610474451740371E-3</v>
      </c>
      <c r="AP20" s="299">
        <f t="shared" si="17"/>
        <v>0.9173895255482597</v>
      </c>
      <c r="AQ20" s="168">
        <f t="shared" si="18"/>
        <v>0.20786986485914163</v>
      </c>
      <c r="AR20" s="168">
        <f t="shared" si="36"/>
        <v>91.738952554825971</v>
      </c>
      <c r="AS20" s="169">
        <f t="shared" si="19"/>
        <v>0.45731370269011157</v>
      </c>
      <c r="AT20" s="168">
        <f t="shared" si="32"/>
        <v>1.4946217757682378</v>
      </c>
      <c r="AU20" s="170">
        <f t="shared" si="33"/>
        <v>4.504742352876165</v>
      </c>
    </row>
    <row r="21" spans="2:47" x14ac:dyDescent="0.2">
      <c r="B21" s="34">
        <f>IF(AND((G21-B$6)*(G20-B$6)&lt;=0,ISNUMBER(SWeRF!C22)),(F20+(B$6-G20)*(F21-F20)/(G21-G20)),0)</f>
        <v>0</v>
      </c>
      <c r="C21" s="34">
        <f>IF(AND((G21-C$6)*(G20-C$6)&lt;=0,ISNUMBER(SWeRF!C22)),(F20+(C$6-G20)*(F21-F20)/(G21-G20)),0)</f>
        <v>0</v>
      </c>
      <c r="D21" s="322">
        <f>IF(AND((G21-D$6)*(G20-D$6)&lt;=0,ISNUMBER(SWeRF!C22)),(F20+(D$6-G20)*(F21-F20)/(G21-G20)),0)</f>
        <v>0</v>
      </c>
      <c r="E21" s="34">
        <f>IF(AND((G21-E$6)*(G20-E$6)&lt;=0,ISNUMBER(SWeRF!C22)),(F20+(E$6-G20)*(F21-F20)/(G21-G20)),0)</f>
        <v>0</v>
      </c>
      <c r="F21" s="100">
        <f>IF(ISNUMBER(SWeRF!C22),SWeRF!C22,F20)</f>
        <v>1.019683363412851</v>
      </c>
      <c r="G21" s="32">
        <f>IF(ISNUMBER(SWeRF!D22),SWeRF!D22,G20)</f>
        <v>2.2348082777695955</v>
      </c>
      <c r="H21" s="76">
        <f t="shared" si="20"/>
        <v>0.97158523699262689</v>
      </c>
      <c r="I21" s="35">
        <f t="shared" si="21"/>
        <v>0.64482648673228615</v>
      </c>
      <c r="J21" s="35">
        <f t="shared" si="22"/>
        <v>0.66368493692661945</v>
      </c>
      <c r="K21" s="36">
        <f t="shared" si="0"/>
        <v>6.6700809381117327</v>
      </c>
      <c r="L21" s="144"/>
      <c r="M21" s="25">
        <f t="shared" si="23"/>
        <v>2.1389058677585968</v>
      </c>
      <c r="N21" s="33">
        <f t="shared" si="24"/>
        <v>2.0380143866187215</v>
      </c>
      <c r="O21" s="33">
        <f t="shared" si="1"/>
        <v>2.2348082777695955</v>
      </c>
      <c r="P21" s="52">
        <f t="shared" si="25"/>
        <v>0.64482648673228615</v>
      </c>
      <c r="Q21" s="53">
        <f t="shared" si="2"/>
        <v>6.670080938111731</v>
      </c>
      <c r="R21" s="82">
        <f t="shared" si="3"/>
        <v>0.58647856900883111</v>
      </c>
      <c r="S21" s="6">
        <f t="shared" si="26"/>
        <v>2.0914751926493564</v>
      </c>
      <c r="T21" s="9">
        <f t="shared" si="4"/>
        <v>6.0665304609004762</v>
      </c>
      <c r="U21" s="60">
        <f t="shared" si="5"/>
        <v>94.244989890536729</v>
      </c>
      <c r="V21" s="58">
        <f t="shared" si="6"/>
        <v>0.96505264752781794</v>
      </c>
      <c r="W21" s="61">
        <f t="shared" si="7"/>
        <v>90.951377010094902</v>
      </c>
      <c r="X21" s="60">
        <f t="shared" si="27"/>
        <v>93.977962376223672</v>
      </c>
      <c r="Y21" s="58">
        <f t="shared" si="8"/>
        <v>0.9548126558064477</v>
      </c>
      <c r="Z21" s="61">
        <f t="shared" si="9"/>
        <v>89.731347843720542</v>
      </c>
      <c r="AB21" s="25">
        <f t="shared" si="10"/>
        <v>1.6599242537825341</v>
      </c>
      <c r="AC21" s="76">
        <f t="shared" si="34"/>
        <v>1.5816261766821988</v>
      </c>
      <c r="AD21" s="33">
        <f t="shared" si="28"/>
        <v>2.2348082777695955</v>
      </c>
      <c r="AE21" s="52">
        <f t="shared" si="35"/>
        <v>0.64482648673228615</v>
      </c>
      <c r="AF21" s="53">
        <f t="shared" si="29"/>
        <v>6.670080938111731</v>
      </c>
      <c r="AG21" s="82">
        <f t="shared" si="11"/>
        <v>0.61108923621146205</v>
      </c>
      <c r="AH21" s="6">
        <f t="shared" si="30"/>
        <v>2.1434214217817527</v>
      </c>
      <c r="AI21" s="9">
        <f t="shared" si="12"/>
        <v>6.3211030405945126</v>
      </c>
      <c r="AJ21" s="60">
        <f t="shared" si="13"/>
        <v>95.473304288103591</v>
      </c>
      <c r="AK21" s="58">
        <f t="shared" si="14"/>
        <v>0.99261266548224225</v>
      </c>
      <c r="AL21" s="61">
        <f t="shared" si="15"/>
        <v>94.768011051811698</v>
      </c>
      <c r="AN21" s="166">
        <f t="shared" si="16"/>
        <v>1.7672791624235468E-6</v>
      </c>
      <c r="AO21" s="167">
        <f t="shared" si="31"/>
        <v>1.0071029970417795E-2</v>
      </c>
      <c r="AP21" s="299">
        <f t="shared" si="17"/>
        <v>0.899289700295822</v>
      </c>
      <c r="AQ21" s="168">
        <f t="shared" si="18"/>
        <v>0.26358446272558433</v>
      </c>
      <c r="AR21" s="168">
        <f t="shared" si="36"/>
        <v>89.928970029582203</v>
      </c>
      <c r="AS21" s="169">
        <f t="shared" si="19"/>
        <v>0.57988581799628547</v>
      </c>
      <c r="AT21" s="168">
        <f t="shared" si="32"/>
        <v>2.0745075937645234</v>
      </c>
      <c r="AU21" s="170">
        <f t="shared" si="33"/>
        <v>5.9983350877833761</v>
      </c>
    </row>
    <row r="22" spans="2:47" x14ac:dyDescent="0.2">
      <c r="B22" s="34">
        <f>IF(AND((G22-B$6)*(G21-B$6)&lt;=0,ISNUMBER(SWeRF!C23)),(F21+(B$6-G21)*(F22-F21)/(G22-G21)),0)</f>
        <v>0</v>
      </c>
      <c r="C22" s="34">
        <f>IF(AND((G22-C$6)*(G21-C$6)&lt;=0,ISNUMBER(SWeRF!C23)),(F21+(C$6-G21)*(F22-F21)/(G22-G21)),0)</f>
        <v>0</v>
      </c>
      <c r="D22" s="322">
        <f>IF(AND((G22-D$6)*(G21-D$6)&lt;=0,ISNUMBER(SWeRF!C23)),(F21+(D$6-G21)*(F22-F21)/(G22-G21)),0)</f>
        <v>0</v>
      </c>
      <c r="E22" s="34">
        <f>IF(AND((G22-E$6)*(G21-E$6)&lt;=0,ISNUMBER(SWeRF!C23)),(F21+(E$6-G21)*(F22-F21)/(G22-G21)),0)</f>
        <v>0</v>
      </c>
      <c r="F22" s="100">
        <f>IF(ISNUMBER(SWeRF!C23),SWeRF!C23,F21)</f>
        <v>1.1184430183423544</v>
      </c>
      <c r="G22" s="32">
        <f>IF(ISNUMBER(SWeRF!D23),SWeRF!D23,G21)</f>
        <v>3.0456106324129397</v>
      </c>
      <c r="H22" s="76">
        <f t="shared" si="20"/>
        <v>1.0679221594896104</v>
      </c>
      <c r="I22" s="35">
        <f t="shared" si="21"/>
        <v>0.81080235464334427</v>
      </c>
      <c r="J22" s="35">
        <f t="shared" si="22"/>
        <v>0.75923357094757649</v>
      </c>
      <c r="K22" s="36">
        <f t="shared" si="0"/>
        <v>8.767485083945056</v>
      </c>
      <c r="L22" s="144"/>
      <c r="M22" s="25">
        <f t="shared" si="23"/>
        <v>2.3460658676231851</v>
      </c>
      <c r="N22" s="33">
        <f t="shared" si="24"/>
        <v>2.2400924200593586</v>
      </c>
      <c r="O22" s="33">
        <f t="shared" si="1"/>
        <v>3.0456106324129397</v>
      </c>
      <c r="P22" s="52">
        <f t="shared" si="25"/>
        <v>0.81080235464334427</v>
      </c>
      <c r="Q22" s="53">
        <f t="shared" si="2"/>
        <v>8.7674850839450436</v>
      </c>
      <c r="R22" s="82">
        <f t="shared" si="3"/>
        <v>0.71641705382870102</v>
      </c>
      <c r="S22" s="6">
        <f t="shared" si="26"/>
        <v>2.8078922464780574</v>
      </c>
      <c r="T22" s="9">
        <f t="shared" si="4"/>
        <v>7.7468643219344884</v>
      </c>
      <c r="U22" s="60">
        <f t="shared" si="5"/>
        <v>93.711772535419698</v>
      </c>
      <c r="V22" s="58">
        <f t="shared" si="6"/>
        <v>0.9428807335017978</v>
      </c>
      <c r="W22" s="61">
        <f t="shared" si="7"/>
        <v>88.359024825950158</v>
      </c>
      <c r="X22" s="60">
        <f t="shared" si="27"/>
        <v>93.434717050514678</v>
      </c>
      <c r="Y22" s="58">
        <f t="shared" si="8"/>
        <v>0.92859765106510639</v>
      </c>
      <c r="Z22" s="61">
        <f t="shared" si="9"/>
        <v>86.763258781040776</v>
      </c>
      <c r="AB22" s="25">
        <f t="shared" si="10"/>
        <v>1.8206933242555439</v>
      </c>
      <c r="AC22" s="76">
        <f t="shared" si="34"/>
        <v>1.7384513244930744</v>
      </c>
      <c r="AD22" s="33">
        <f t="shared" si="28"/>
        <v>3.0456106324129397</v>
      </c>
      <c r="AE22" s="52">
        <f t="shared" si="35"/>
        <v>0.81080235464334427</v>
      </c>
      <c r="AF22" s="53">
        <f t="shared" si="29"/>
        <v>8.7674850839450578</v>
      </c>
      <c r="AG22" s="82">
        <f t="shared" si="11"/>
        <v>0.76005966996245955</v>
      </c>
      <c r="AH22" s="6">
        <f t="shared" si="30"/>
        <v>2.9034810917442124</v>
      </c>
      <c r="AI22" s="9">
        <f t="shared" si="12"/>
        <v>8.2187869597829941</v>
      </c>
      <c r="AJ22" s="60">
        <f t="shared" si="13"/>
        <v>95.047429606116452</v>
      </c>
      <c r="AK22" s="58">
        <f t="shared" si="14"/>
        <v>0.98626202386183615</v>
      </c>
      <c r="AL22" s="61">
        <f t="shared" si="15"/>
        <v>93.741670286193809</v>
      </c>
      <c r="AN22" s="166">
        <f t="shared" si="16"/>
        <v>2.1351212305705993E-6</v>
      </c>
      <c r="AO22" s="167">
        <f t="shared" si="31"/>
        <v>1.2167217472345461E-2</v>
      </c>
      <c r="AP22" s="299">
        <f t="shared" si="17"/>
        <v>0.8783278252765454</v>
      </c>
      <c r="AQ22" s="168">
        <f t="shared" si="18"/>
        <v>0.32370466767408684</v>
      </c>
      <c r="AR22" s="168">
        <f t="shared" si="36"/>
        <v>87.832782527654544</v>
      </c>
      <c r="AS22" s="169">
        <f t="shared" si="19"/>
        <v>0.71215026888299093</v>
      </c>
      <c r="AT22" s="168">
        <f t="shared" si="32"/>
        <v>2.7866578626475142</v>
      </c>
      <c r="AU22" s="170">
        <f t="shared" si="33"/>
        <v>7.7007261069260107</v>
      </c>
    </row>
    <row r="23" spans="2:47" x14ac:dyDescent="0.2">
      <c r="B23" s="34">
        <f>IF(AND((G23-B$6)*(G22-B$6)&lt;=0,ISNUMBER(SWeRF!C24)),(F22+(B$6-G22)*(F23-F22)/(G23-G22)),0)</f>
        <v>0</v>
      </c>
      <c r="C23" s="34">
        <f>IF(AND((G23-C$6)*(G22-C$6)&lt;=0,ISNUMBER(SWeRF!C24)),(F22+(C$6-G22)*(F23-F22)/(G23-G22)),0)</f>
        <v>0</v>
      </c>
      <c r="D23" s="322">
        <f>IF(AND((G23-D$6)*(G22-D$6)&lt;=0,ISNUMBER(SWeRF!C24)),(F22+(D$6-G22)*(F23-F22)/(G23-G22)),0)</f>
        <v>0</v>
      </c>
      <c r="E23" s="34">
        <f>IF(AND((G23-E$6)*(G22-E$6)&lt;=0,ISNUMBER(SWeRF!C24)),(F22+(E$6-G22)*(F23-F22)/(G23-G22)),0)</f>
        <v>0</v>
      </c>
      <c r="F23" s="100">
        <f>IF(ISNUMBER(SWeRF!C24),SWeRF!C24,F22)</f>
        <v>1.2222834431673961</v>
      </c>
      <c r="G23" s="32">
        <f>IF(ISNUMBER(SWeRF!D24),SWeRF!D24,G22)</f>
        <v>4.0401563750952514</v>
      </c>
      <c r="H23" s="76">
        <f t="shared" si="20"/>
        <v>1.1692110089483541</v>
      </c>
      <c r="I23" s="35">
        <f t="shared" si="21"/>
        <v>0.99454574268231166</v>
      </c>
      <c r="J23" s="35">
        <f t="shared" si="22"/>
        <v>0.85061270811746381</v>
      </c>
      <c r="K23" s="36">
        <f t="shared" si="0"/>
        <v>11.198276906186647</v>
      </c>
      <c r="L23" s="144"/>
      <c r="M23" s="25">
        <f t="shared" si="23"/>
        <v>2.5638833803316876</v>
      </c>
      <c r="N23" s="33">
        <f t="shared" si="24"/>
        <v>2.4525577031259682</v>
      </c>
      <c r="O23" s="33">
        <f t="shared" si="1"/>
        <v>4.0401563750952514</v>
      </c>
      <c r="P23" s="52">
        <f t="shared" si="25"/>
        <v>0.99454574268231166</v>
      </c>
      <c r="Q23" s="53">
        <f t="shared" si="2"/>
        <v>11.198276906186651</v>
      </c>
      <c r="R23" s="82">
        <f t="shared" si="3"/>
        <v>0.84537659673188159</v>
      </c>
      <c r="S23" s="6">
        <f t="shared" si="26"/>
        <v>3.6532688432099389</v>
      </c>
      <c r="T23" s="9">
        <f t="shared" si="4"/>
        <v>9.5186785423073967</v>
      </c>
      <c r="U23" s="60">
        <f t="shared" si="5"/>
        <v>93.158075229954179</v>
      </c>
      <c r="V23" s="58">
        <f t="shared" si="6"/>
        <v>0.91244133488955392</v>
      </c>
      <c r="W23" s="61">
        <f t="shared" si="7"/>
        <v>85.001278518560881</v>
      </c>
      <c r="X23" s="60">
        <f t="shared" si="27"/>
        <v>92.870759748801774</v>
      </c>
      <c r="Y23" s="58">
        <f t="shared" si="8"/>
        <v>0.89370216737594732</v>
      </c>
      <c r="Z23" s="61">
        <f t="shared" si="9"/>
        <v>82.998799273355033</v>
      </c>
      <c r="AB23" s="25">
        <f t="shared" si="10"/>
        <v>1.9897332888905073</v>
      </c>
      <c r="AC23" s="76">
        <f t="shared" si="34"/>
        <v>1.9033376253654983</v>
      </c>
      <c r="AD23" s="33">
        <f t="shared" si="28"/>
        <v>4.0401563750952514</v>
      </c>
      <c r="AE23" s="52">
        <f t="shared" si="35"/>
        <v>0.99454574268231166</v>
      </c>
      <c r="AF23" s="53">
        <f t="shared" si="29"/>
        <v>11.19827690618664</v>
      </c>
      <c r="AG23" s="82">
        <f t="shared" si="11"/>
        <v>0.91850174803359652</v>
      </c>
      <c r="AH23" s="6">
        <f t="shared" si="30"/>
        <v>3.8219828397778088</v>
      </c>
      <c r="AI23" s="9">
        <f t="shared" si="12"/>
        <v>10.34204508839996</v>
      </c>
      <c r="AJ23" s="60">
        <f t="shared" si="13"/>
        <v>94.603964620259546</v>
      </c>
      <c r="AK23" s="58">
        <f t="shared" si="14"/>
        <v>0.97621592383651579</v>
      </c>
      <c r="AL23" s="61">
        <f t="shared" si="15"/>
        <v>92.353896720363721</v>
      </c>
      <c r="AN23" s="166">
        <f t="shared" si="16"/>
        <v>2.5593467765787328E-6</v>
      </c>
      <c r="AO23" s="167">
        <f t="shared" si="31"/>
        <v>1.4584712273905761E-2</v>
      </c>
      <c r="AP23" s="299">
        <f t="shared" si="17"/>
        <v>0.85415287726094247</v>
      </c>
      <c r="AQ23" s="168">
        <f t="shared" si="18"/>
        <v>0.38613368530896247</v>
      </c>
      <c r="AR23" s="168">
        <f t="shared" si="36"/>
        <v>85.415287726094249</v>
      </c>
      <c r="AS23" s="169">
        <f t="shared" si="19"/>
        <v>0.84949410767971745</v>
      </c>
      <c r="AT23" s="168">
        <f t="shared" si="32"/>
        <v>3.6361519703272318</v>
      </c>
      <c r="AU23" s="170">
        <f t="shared" si="33"/>
        <v>9.5650404397840916</v>
      </c>
    </row>
    <row r="24" spans="2:47" x14ac:dyDescent="0.2">
      <c r="B24" s="34">
        <f>IF(AND((G24-B$6)*(G23-B$6)&lt;=0,ISNUMBER(SWeRF!C25)),(F23+(B$6-G23)*(F24-F23)/(G24-G23)),0)</f>
        <v>0</v>
      </c>
      <c r="C24" s="34">
        <f>IF(AND((G24-C$6)*(G23-C$6)&lt;=0,ISNUMBER(SWeRF!C25)),(F23+(C$6-G23)*(F24-F23)/(G24-G23)),0)</f>
        <v>0</v>
      </c>
      <c r="D24" s="322">
        <f>IF(AND((G24-D$6)*(G23-D$6)&lt;=0,ISNUMBER(SWeRF!C25)),(F23+(D$6-G23)*(F24-F23)/(G24-G23)),0)</f>
        <v>0</v>
      </c>
      <c r="E24" s="34">
        <f>IF(AND((G24-E$6)*(G23-E$6)&lt;=0,ISNUMBER(SWeRF!C25)),(F23+(E$6-G23)*(F24-F23)/(G24-G23)),0)</f>
        <v>0</v>
      </c>
      <c r="F24" s="100">
        <f>IF(ISNUMBER(SWeRF!C25),SWeRF!C25,F23)</f>
        <v>1.3314660221825032</v>
      </c>
      <c r="G24" s="32">
        <f>IF(ISNUMBER(SWeRF!D25),SWeRF!D25,G23)</f>
        <v>5.233658286741977</v>
      </c>
      <c r="H24" s="76">
        <f t="shared" si="20"/>
        <v>1.2757072054564977</v>
      </c>
      <c r="I24" s="35">
        <f t="shared" si="21"/>
        <v>1.1935019116467256</v>
      </c>
      <c r="J24" s="35">
        <f t="shared" si="22"/>
        <v>0.93556100219692973</v>
      </c>
      <c r="K24" s="36">
        <f t="shared" si="0"/>
        <v>13.945072576121898</v>
      </c>
      <c r="L24" s="144"/>
      <c r="M24" s="25">
        <f t="shared" si="23"/>
        <v>2.7929066902058497</v>
      </c>
      <c r="N24" s="33">
        <f t="shared" si="24"/>
        <v>2.6759460095143845</v>
      </c>
      <c r="O24" s="33">
        <f t="shared" si="1"/>
        <v>5.233658286741977</v>
      </c>
      <c r="P24" s="52">
        <f t="shared" si="25"/>
        <v>1.1935019116467256</v>
      </c>
      <c r="Q24" s="53">
        <f t="shared" si="2"/>
        <v>13.945072576121897</v>
      </c>
      <c r="R24" s="82">
        <f t="shared" si="3"/>
        <v>0.96471308167132552</v>
      </c>
      <c r="S24" s="6">
        <f t="shared" si="26"/>
        <v>4.6179819248812644</v>
      </c>
      <c r="T24" s="9">
        <f t="shared" si="4"/>
        <v>11.27186626829879</v>
      </c>
      <c r="U24" s="60">
        <f t="shared" si="5"/>
        <v>92.583474047703064</v>
      </c>
      <c r="V24" s="58">
        <f t="shared" si="6"/>
        <v>0.87305494342236978</v>
      </c>
      <c r="W24" s="61">
        <f t="shared" si="7"/>
        <v>80.830459696563835</v>
      </c>
      <c r="X24" s="60">
        <f t="shared" si="27"/>
        <v>92.285684632742715</v>
      </c>
      <c r="Y24" s="58">
        <f t="shared" si="8"/>
        <v>0.84976901934186078</v>
      </c>
      <c r="Z24" s="61">
        <f t="shared" si="9"/>
        <v>78.421515729658012</v>
      </c>
      <c r="AB24" s="25">
        <f t="shared" si="10"/>
        <v>2.1674696504911481</v>
      </c>
      <c r="AC24" s="76">
        <f t="shared" si="34"/>
        <v>2.0767008730778032</v>
      </c>
      <c r="AD24" s="33">
        <f t="shared" si="28"/>
        <v>5.233658286741977</v>
      </c>
      <c r="AE24" s="52">
        <f>AD24-AD23</f>
        <v>1.1935019116467256</v>
      </c>
      <c r="AF24" s="53">
        <f t="shared" si="29"/>
        <v>13.945072576121897</v>
      </c>
      <c r="AG24" s="82">
        <f t="shared" si="11"/>
        <v>1.0801310221934954</v>
      </c>
      <c r="AH24" s="6">
        <f t="shared" si="30"/>
        <v>4.9021138619713041</v>
      </c>
      <c r="AI24" s="9">
        <f t="shared" si="12"/>
        <v>12.620428462847324</v>
      </c>
      <c r="AJ24" s="60">
        <f t="shared" si="13"/>
        <v>94.142408000445414</v>
      </c>
      <c r="AK24" s="58">
        <f t="shared" si="14"/>
        <v>0.96132008891528875</v>
      </c>
      <c r="AL24" s="61">
        <f t="shared" si="15"/>
        <v>90.500988029687576</v>
      </c>
      <c r="AN24" s="166">
        <f t="shared" si="16"/>
        <v>3.0468099099473378E-6</v>
      </c>
      <c r="AO24" s="167">
        <f t="shared" si="31"/>
        <v>1.7362573253659922E-2</v>
      </c>
      <c r="AP24" s="299">
        <f t="shared" si="17"/>
        <v>0.82637426746340081</v>
      </c>
      <c r="AQ24" s="168">
        <f t="shared" si="18"/>
        <v>0.44830875816055976</v>
      </c>
      <c r="AR24" s="168">
        <f t="shared" si="36"/>
        <v>82.637426746340083</v>
      </c>
      <c r="AS24" s="169">
        <f t="shared" si="19"/>
        <v>0.9862792679532314</v>
      </c>
      <c r="AT24" s="168">
        <f t="shared" si="32"/>
        <v>4.6224312382804635</v>
      </c>
      <c r="AU24" s="170">
        <f t="shared" si="33"/>
        <v>11.523849134816693</v>
      </c>
    </row>
    <row r="25" spans="2:47" x14ac:dyDescent="0.2">
      <c r="B25" s="34">
        <f>IF(AND((G25-B$6)*(G24-B$6)&lt;=0,ISNUMBER(SWeRF!C26)),(F24+(B$6-G24)*(F25-F24)/(G25-G24)),0)</f>
        <v>0</v>
      </c>
      <c r="C25" s="34">
        <f>IF(AND((G25-C$6)*(G24-C$6)&lt;=0,ISNUMBER(SWeRF!C26)),(F24+(C$6-G24)*(F25-F24)/(G25-G24)),0)</f>
        <v>0</v>
      </c>
      <c r="D25" s="322">
        <f>IF(AND((G25-D$6)*(G24-D$6)&lt;=0,ISNUMBER(SWeRF!C26)),(F24+(D$6-G24)*(F25-F24)/(G25-G24)),0)</f>
        <v>0</v>
      </c>
      <c r="E25" s="34">
        <f>IF(AND((G25-E$6)*(G24-E$6)&lt;=0,ISNUMBER(SWeRF!C26)),(F24+(E$6-G24)*(F25-F24)/(G25-G24)),0)</f>
        <v>0</v>
      </c>
      <c r="F25" s="100">
        <f>IF(ISNUMBER(SWeRF!C26),SWeRF!C26,F24)</f>
        <v>1.4462655868075056</v>
      </c>
      <c r="G25" s="32">
        <f>IF(ISNUMBER(SWeRF!D26),SWeRF!D26,G24)</f>
        <v>6.6381958164096728</v>
      </c>
      <c r="H25" s="76">
        <f t="shared" si="20"/>
        <v>1.3876791732551272</v>
      </c>
      <c r="I25" s="35">
        <f t="shared" si="21"/>
        <v>1.4045375296676958</v>
      </c>
      <c r="J25" s="35">
        <f t="shared" si="22"/>
        <v>1.0121485979882681</v>
      </c>
      <c r="K25" s="36">
        <f t="shared" si="0"/>
        <v>16.977829875415576</v>
      </c>
      <c r="L25" s="144"/>
      <c r="M25" s="25">
        <f t="shared" si="23"/>
        <v>3.0337122884954169</v>
      </c>
      <c r="N25" s="33">
        <f t="shared" si="24"/>
        <v>2.9108203906628365</v>
      </c>
      <c r="O25" s="33">
        <f t="shared" si="1"/>
        <v>6.6381958164096728</v>
      </c>
      <c r="P25" s="52">
        <f t="shared" si="25"/>
        <v>1.4045375296676958</v>
      </c>
      <c r="Q25" s="53">
        <f t="shared" si="2"/>
        <v>16.977829875415587</v>
      </c>
      <c r="R25" s="82">
        <f t="shared" si="3"/>
        <v>1.0655225433765427</v>
      </c>
      <c r="S25" s="6">
        <f t="shared" si="26"/>
        <v>5.6835044682578069</v>
      </c>
      <c r="T25" s="9">
        <f t="shared" si="4"/>
        <v>12.879869770476756</v>
      </c>
      <c r="U25" s="60">
        <f t="shared" si="5"/>
        <v>91.987576713330483</v>
      </c>
      <c r="V25" s="58">
        <f t="shared" si="6"/>
        <v>0.82470782692862565</v>
      </c>
      <c r="W25" s="61">
        <f t="shared" si="7"/>
        <v>75.862874495681027</v>
      </c>
      <c r="X25" s="60">
        <f t="shared" si="27"/>
        <v>91.679119338967467</v>
      </c>
      <c r="Y25" s="58">
        <f t="shared" si="8"/>
        <v>0.79714581952392582</v>
      </c>
      <c r="Z25" s="61">
        <f t="shared" si="9"/>
        <v>73.081626718693016</v>
      </c>
      <c r="AB25" s="25">
        <f t="shared" si="10"/>
        <v>2.3543498021952249</v>
      </c>
      <c r="AC25" s="76">
        <f t="shared" si="34"/>
        <v>2.2589780306364178</v>
      </c>
      <c r="AD25" s="33">
        <f t="shared" si="28"/>
        <v>6.6381958164096728</v>
      </c>
      <c r="AE25" s="52">
        <f t="shared" si="35"/>
        <v>1.4045375296676958</v>
      </c>
      <c r="AF25" s="53">
        <f t="shared" si="29"/>
        <v>16.97782987541558</v>
      </c>
      <c r="AG25" s="82">
        <f t="shared" si="11"/>
        <v>1.2372069206624361</v>
      </c>
      <c r="AH25" s="6">
        <f t="shared" si="30"/>
        <v>6.1393207826337406</v>
      </c>
      <c r="AI25" s="9">
        <f t="shared" si="12"/>
        <v>14.955163657793666</v>
      </c>
      <c r="AJ25" s="60">
        <f t="shared" si="13"/>
        <v>93.662269176926856</v>
      </c>
      <c r="AK25" s="58">
        <f t="shared" si="14"/>
        <v>0.94046863706439521</v>
      </c>
      <c r="AL25" s="61">
        <f t="shared" si="15"/>
        <v>88.08642663718291</v>
      </c>
      <c r="AN25" s="166">
        <f t="shared" si="16"/>
        <v>3.605134592089393E-6</v>
      </c>
      <c r="AO25" s="167">
        <f t="shared" si="31"/>
        <v>2.0544246373918801E-2</v>
      </c>
      <c r="AP25" s="299">
        <f t="shared" si="17"/>
        <v>0.79455753626081205</v>
      </c>
      <c r="AQ25" s="168">
        <f t="shared" si="18"/>
        <v>0.5072663087084599</v>
      </c>
      <c r="AR25" s="168">
        <f t="shared" si="36"/>
        <v>79.455753626081204</v>
      </c>
      <c r="AS25" s="169">
        <f t="shared" si="19"/>
        <v>1.1159858791586117</v>
      </c>
      <c r="AT25" s="168">
        <f t="shared" si="32"/>
        <v>5.7384171174390755</v>
      </c>
      <c r="AU25" s="170">
        <f t="shared" si="33"/>
        <v>13.489862676865412</v>
      </c>
    </row>
    <row r="26" spans="2:47" x14ac:dyDescent="0.2">
      <c r="B26" s="34">
        <f>IF(AND((G26-B$6)*(G25-B$6)&lt;=0,ISNUMBER(SWeRF!C27)),(F25+(B$6-G25)*(F26-F25)/(G26-G25)),0)</f>
        <v>0</v>
      </c>
      <c r="C26" s="34">
        <f>IF(AND((G26-C$6)*(G25-C$6)&lt;=0,ISNUMBER(SWeRF!C27)),(F25+(C$6-G25)*(F26-F25)/(G26-G25)),0)</f>
        <v>0</v>
      </c>
      <c r="D26" s="322">
        <f>IF(AND((G26-D$6)*(G25-D$6)&lt;=0,ISNUMBER(SWeRF!C27)),(F25+(D$6-G25)*(F26-F25)/(G26-G25)),0)</f>
        <v>0</v>
      </c>
      <c r="E26" s="34">
        <f>IF(AND((G26-E$6)*(G25-E$6)&lt;=0,ISNUMBER(SWeRF!C27)),(F25+(E$6-G25)*(F26-F25)/(G26-G25)),0)</f>
        <v>0</v>
      </c>
      <c r="F26" s="100">
        <f>IF(ISNUMBER(SWeRF!C27),SWeRF!C27,F25)</f>
        <v>1.5669711073857155</v>
      </c>
      <c r="G26" s="32">
        <f>IF(ISNUMBER(SWeRF!D27),SWeRF!D27,G25)</f>
        <v>8.2622535356609248</v>
      </c>
      <c r="H26" s="76">
        <f t="shared" si="20"/>
        <v>1.5054090434608158</v>
      </c>
      <c r="I26" s="35">
        <f t="shared" si="21"/>
        <v>1.624057719251252</v>
      </c>
      <c r="J26" s="35">
        <f t="shared" si="22"/>
        <v>1.0788149083505385</v>
      </c>
      <c r="K26" s="36">
        <f t="shared" si="0"/>
        <v>20.254841418616405</v>
      </c>
      <c r="L26" s="144"/>
      <c r="M26" s="25">
        <f t="shared" si="23"/>
        <v>3.2869063245062384</v>
      </c>
      <c r="N26" s="33">
        <f t="shared" si="24"/>
        <v>3.1577726497941359</v>
      </c>
      <c r="O26" s="33">
        <f t="shared" si="1"/>
        <v>8.2622535356609248</v>
      </c>
      <c r="P26" s="52">
        <f t="shared" si="25"/>
        <v>1.624057719251252</v>
      </c>
      <c r="Q26" s="53">
        <f t="shared" si="2"/>
        <v>20.254841418616422</v>
      </c>
      <c r="R26" s="82">
        <f t="shared" si="3"/>
        <v>1.1397926033729122</v>
      </c>
      <c r="S26" s="6">
        <f t="shared" si="26"/>
        <v>6.8232970716307193</v>
      </c>
      <c r="T26" s="9">
        <f t="shared" si="4"/>
        <v>14.215208091294867</v>
      </c>
      <c r="U26" s="60">
        <f t="shared" si="5"/>
        <v>91.370027551071317</v>
      </c>
      <c r="V26" s="58">
        <f t="shared" si="6"/>
        <v>0.76810504635151289</v>
      </c>
      <c r="W26" s="61">
        <f t="shared" si="7"/>
        <v>70.181779247254639</v>
      </c>
      <c r="X26" s="60">
        <f t="shared" si="27"/>
        <v>91.050730288431609</v>
      </c>
      <c r="Y26" s="58">
        <f t="shared" si="8"/>
        <v>0.73688498832245897</v>
      </c>
      <c r="Z26" s="61">
        <f t="shared" si="9"/>
        <v>67.093916325342292</v>
      </c>
      <c r="AB26" s="25">
        <f t="shared" si="10"/>
        <v>2.5508441536403752</v>
      </c>
      <c r="AC26" s="76">
        <f t="shared" si="34"/>
        <v>2.4506283742244688</v>
      </c>
      <c r="AD26" s="33">
        <f t="shared" si="28"/>
        <v>8.2622535356609248</v>
      </c>
      <c r="AE26" s="52">
        <f t="shared" si="35"/>
        <v>1.624057719251252</v>
      </c>
      <c r="AF26" s="53">
        <f t="shared" si="29"/>
        <v>20.254841418616387</v>
      </c>
      <c r="AG26" s="82">
        <f t="shared" si="11"/>
        <v>1.3810104632346847</v>
      </c>
      <c r="AH26" s="6">
        <f t="shared" si="30"/>
        <v>7.5203312458684248</v>
      </c>
      <c r="AI26" s="9">
        <f t="shared" si="12"/>
        <v>17.223616869457491</v>
      </c>
      <c r="AJ26" s="60">
        <f t="shared" si="13"/>
        <v>93.163071486443712</v>
      </c>
      <c r="AK26" s="58">
        <f t="shared" si="14"/>
        <v>0.91274972470736193</v>
      </c>
      <c r="AL26" s="61">
        <f t="shared" si="15"/>
        <v>85.03456785214378</v>
      </c>
      <c r="AN26" s="166">
        <f t="shared" si="16"/>
        <v>4.2427982764298738E-6</v>
      </c>
      <c r="AO26" s="167">
        <f t="shared" si="31"/>
        <v>2.4178041312819875E-2</v>
      </c>
      <c r="AP26" s="299">
        <f t="shared" si="17"/>
        <v>0.75821958687180124</v>
      </c>
      <c r="AQ26" s="168">
        <f t="shared" si="18"/>
        <v>0.55972380588483828</v>
      </c>
      <c r="AR26" s="168">
        <f t="shared" si="36"/>
        <v>75.821958687180128</v>
      </c>
      <c r="AS26" s="169">
        <f t="shared" si="19"/>
        <v>1.2313923729466441</v>
      </c>
      <c r="AT26" s="168">
        <f t="shared" si="32"/>
        <v>6.9698094903857193</v>
      </c>
      <c r="AU26" s="170">
        <f t="shared" si="33"/>
        <v>15.357617492577178</v>
      </c>
    </row>
    <row r="27" spans="2:47" x14ac:dyDescent="0.2">
      <c r="B27" s="34">
        <f>IF(AND((G27-B$6)*(G26-B$6)&lt;=0,ISNUMBER(SWeRF!C28)),(F26+(B$6-G26)*(F27-F26)/(G27-G26)),0)</f>
        <v>0</v>
      </c>
      <c r="C27" s="34">
        <f>IF(AND((G27-C$6)*(G26-C$6)&lt;=0,ISNUMBER(SWeRF!C28)),(F26+(C$6-G26)*(F27-F26)/(G27-G26)),0)</f>
        <v>1.6863058445524293</v>
      </c>
      <c r="D27" s="322">
        <f>IF(AND((G27-D$6)*(G26-D$6)&lt;=0,ISNUMBER(SWeRF!C28)),(F26+(D$6-G26)*(F27-F26)/(G27-G26)),0)</f>
        <v>0</v>
      </c>
      <c r="E27" s="34">
        <f>IF(AND((G27-E$6)*(G26-E$6)&lt;=0,ISNUMBER(SWeRF!C28)),(F26+(E$6-G26)*(F27-F26)/(G27-G26)),0)</f>
        <v>0</v>
      </c>
      <c r="F27" s="100">
        <f>IF(ISNUMBER(SWeRF!C28),SWeRF!C28,F26)</f>
        <v>1.6938864205722219</v>
      </c>
      <c r="G27" s="32">
        <f>IF(ISNUMBER(SWeRF!D28),SWeRF!D28,G26)</f>
        <v>10.110387968237992</v>
      </c>
      <c r="H27" s="76">
        <f t="shared" si="20"/>
        <v>1.6291933833126382</v>
      </c>
      <c r="I27" s="35">
        <f t="shared" si="21"/>
        <v>1.8481344325770674</v>
      </c>
      <c r="J27" s="35">
        <f t="shared" si="22"/>
        <v>1.13438616404104</v>
      </c>
      <c r="K27" s="36">
        <f t="shared" si="0"/>
        <v>23.724232430503438</v>
      </c>
      <c r="L27" s="144"/>
      <c r="M27" s="25">
        <f t="shared" si="23"/>
        <v>3.5531261313828262</v>
      </c>
      <c r="N27" s="33">
        <f t="shared" si="24"/>
        <v>3.4174248715971207</v>
      </c>
      <c r="O27" s="33">
        <f t="shared" si="1"/>
        <v>10.110387968237992</v>
      </c>
      <c r="P27" s="52">
        <f t="shared" si="25"/>
        <v>1.8481344325770674</v>
      </c>
      <c r="Q27" s="53">
        <f t="shared" si="2"/>
        <v>23.724232430503427</v>
      </c>
      <c r="R27" s="82">
        <f t="shared" si="3"/>
        <v>1.1815206261925559</v>
      </c>
      <c r="S27" s="6">
        <f t="shared" si="26"/>
        <v>8.0048176978232757</v>
      </c>
      <c r="T27" s="9">
        <f t="shared" si="4"/>
        <v>15.167008126210689</v>
      </c>
      <c r="U27" s="60">
        <f t="shared" si="5"/>
        <v>90.730512853883255</v>
      </c>
      <c r="V27" s="58">
        <f t="shared" si="6"/>
        <v>0.70461905476908138</v>
      </c>
      <c r="W27" s="61">
        <f t="shared" si="7"/>
        <v>63.930448205817207</v>
      </c>
      <c r="X27" s="60">
        <f t="shared" si="27"/>
        <v>90.400228364799545</v>
      </c>
      <c r="Y27" s="58">
        <f t="shared" si="8"/>
        <v>0.67064437151323797</v>
      </c>
      <c r="Z27" s="61">
        <f t="shared" si="9"/>
        <v>60.626404336364182</v>
      </c>
      <c r="AB27" s="25">
        <f t="shared" si="10"/>
        <v>2.7574473150664693</v>
      </c>
      <c r="AC27" s="76">
        <f t="shared" si="34"/>
        <v>2.6521346803299135</v>
      </c>
      <c r="AD27" s="33">
        <f t="shared" si="28"/>
        <v>10.110387968237992</v>
      </c>
      <c r="AE27" s="52">
        <f t="shared" si="35"/>
        <v>1.8481344325770674</v>
      </c>
      <c r="AF27" s="53">
        <f t="shared" si="29"/>
        <v>23.724232430503474</v>
      </c>
      <c r="AG27" s="82">
        <f t="shared" si="11"/>
        <v>1.5025931141344933</v>
      </c>
      <c r="AH27" s="6">
        <f t="shared" si="30"/>
        <v>9.0229243600029179</v>
      </c>
      <c r="AI27" s="9">
        <f t="shared" si="12"/>
        <v>19.288568872391362</v>
      </c>
      <c r="AJ27" s="60">
        <f t="shared" si="13"/>
        <v>92.64435567462337</v>
      </c>
      <c r="AK27" s="58">
        <f t="shared" si="14"/>
        <v>0.87758435157546377</v>
      </c>
      <c r="AL27" s="61">
        <f t="shared" si="15"/>
        <v>81.303236801840981</v>
      </c>
      <c r="AN27" s="166">
        <f t="shared" si="16"/>
        <v>4.9692244987561484E-6</v>
      </c>
      <c r="AO27" s="167">
        <f t="shared" si="31"/>
        <v>2.831765910037571E-2</v>
      </c>
      <c r="AP27" s="299">
        <f t="shared" si="17"/>
        <v>0.71682340899624297</v>
      </c>
      <c r="AQ27" s="168">
        <f t="shared" si="18"/>
        <v>0.60217546556510482</v>
      </c>
      <c r="AR27" s="168">
        <f t="shared" si="36"/>
        <v>71.682340899624293</v>
      </c>
      <c r="AS27" s="169">
        <f t="shared" si="19"/>
        <v>1.3247860242432306</v>
      </c>
      <c r="AT27" s="168">
        <f t="shared" si="32"/>
        <v>8.2945955146289503</v>
      </c>
      <c r="AU27" s="170">
        <f t="shared" si="33"/>
        <v>17.006085166652696</v>
      </c>
    </row>
    <row r="28" spans="2:47" x14ac:dyDescent="0.2">
      <c r="B28" s="34">
        <f>IF(AND((G28-B$6)*(G27-B$6)&lt;=0,ISNUMBER(SWeRF!C29)),(F27+(B$6-G27)*(F28-F27)/(G28-G27)),0)</f>
        <v>0</v>
      </c>
      <c r="C28" s="34">
        <f>IF(AND((G28-C$6)*(G27-C$6)&lt;=0,ISNUMBER(SWeRF!C29)),(F27+(C$6-G27)*(F28-F27)/(G28-G27)),0)</f>
        <v>0</v>
      </c>
      <c r="D28" s="322">
        <f>IF(AND((G28-D$6)*(G27-D$6)&lt;=0,ISNUMBER(SWeRF!C29)),(F27+(D$6-G27)*(F28-F27)/(G28-G27)),0)</f>
        <v>0</v>
      </c>
      <c r="E28" s="34">
        <f>IF(AND((G28-E$6)*(G27-E$6)&lt;=0,ISNUMBER(SWeRF!C29)),(F27+(E$6-G27)*(F28-F27)/(G28-G27)),0)</f>
        <v>0</v>
      </c>
      <c r="F28" s="100">
        <f>IF(ISNUMBER(SWeRF!C29),SWeRF!C29,F27)</f>
        <v>1.8273309941432561</v>
      </c>
      <c r="G28" s="32">
        <f>IF(ISNUMBER(SWeRF!D29),SWeRF!D29,G27)</f>
        <v>12.183028436744371</v>
      </c>
      <c r="H28" s="76">
        <f t="shared" si="20"/>
        <v>1.7593439563854476</v>
      </c>
      <c r="I28" s="35">
        <f t="shared" si="21"/>
        <v>2.0726404685063784</v>
      </c>
      <c r="J28" s="35">
        <f t="shared" si="22"/>
        <v>1.1780757599921479</v>
      </c>
      <c r="K28" s="36">
        <f t="shared" si="0"/>
        <v>27.325858103068771</v>
      </c>
      <c r="L28" s="144"/>
      <c r="M28" s="25">
        <f t="shared" si="23"/>
        <v>3.833041830386013</v>
      </c>
      <c r="N28" s="33">
        <f t="shared" si="24"/>
        <v>3.6904310168634775</v>
      </c>
      <c r="O28" s="33">
        <f t="shared" si="1"/>
        <v>12.183028436744371</v>
      </c>
      <c r="P28" s="52">
        <f t="shared" si="25"/>
        <v>2.0726404685063784</v>
      </c>
      <c r="Q28" s="53">
        <f t="shared" si="2"/>
        <v>27.325858103068764</v>
      </c>
      <c r="R28" s="82">
        <f t="shared" si="3"/>
        <v>1.1875627601555478</v>
      </c>
      <c r="S28" s="6">
        <f t="shared" si="26"/>
        <v>9.1923804579788229</v>
      </c>
      <c r="T28" s="9">
        <f t="shared" si="4"/>
        <v>15.656922638340991</v>
      </c>
      <c r="U28" s="60">
        <f t="shared" si="5"/>
        <v>90.068766655096567</v>
      </c>
      <c r="V28" s="58">
        <f t="shared" si="6"/>
        <v>0.63614831483665624</v>
      </c>
      <c r="W28" s="61">
        <f t="shared" si="7"/>
        <v>57.297094127055693</v>
      </c>
      <c r="X28" s="60">
        <f t="shared" si="27"/>
        <v>89.727374957903677</v>
      </c>
      <c r="Y28" s="58">
        <f t="shared" si="8"/>
        <v>0.60051146683658452</v>
      </c>
      <c r="Z28" s="61">
        <f t="shared" si="9"/>
        <v>53.88231755136696</v>
      </c>
      <c r="AB28" s="25">
        <f t="shared" si="10"/>
        <v>2.9746793423350586</v>
      </c>
      <c r="AC28" s="76">
        <f t="shared" si="34"/>
        <v>2.8640044632830963</v>
      </c>
      <c r="AD28" s="33">
        <f t="shared" si="28"/>
        <v>12.183028436744371</v>
      </c>
      <c r="AE28" s="52">
        <f t="shared" si="35"/>
        <v>2.0726404685063784</v>
      </c>
      <c r="AF28" s="53">
        <f t="shared" si="29"/>
        <v>27.325858103068768</v>
      </c>
      <c r="AG28" s="82">
        <f t="shared" si="11"/>
        <v>1.593714583054008</v>
      </c>
      <c r="AH28" s="6">
        <f t="shared" si="30"/>
        <v>10.616638943056927</v>
      </c>
      <c r="AI28" s="9">
        <f t="shared" si="12"/>
        <v>21.011660833153908</v>
      </c>
      <c r="AJ28" s="60">
        <f t="shared" si="13"/>
        <v>92.105683754929046</v>
      </c>
      <c r="AK28" s="58">
        <f t="shared" si="14"/>
        <v>0.83483402694854636</v>
      </c>
      <c r="AL28" s="61">
        <f t="shared" si="15"/>
        <v>76.892958873976724</v>
      </c>
      <c r="AN28" s="166">
        <f t="shared" si="16"/>
        <v>5.7948853687433803E-6</v>
      </c>
      <c r="AO28" s="167">
        <f t="shared" si="31"/>
        <v>3.3022776177430796E-2</v>
      </c>
      <c r="AP28" s="299">
        <f t="shared" si="17"/>
        <v>0.6697722382256921</v>
      </c>
      <c r="AQ28" s="168">
        <f t="shared" si="18"/>
        <v>0.63099865710393821</v>
      </c>
      <c r="AR28" s="168">
        <f t="shared" si="36"/>
        <v>66.977223822569215</v>
      </c>
      <c r="AS28" s="169">
        <f t="shared" si="19"/>
        <v>1.3881970456286641</v>
      </c>
      <c r="AT28" s="168">
        <f t="shared" si="32"/>
        <v>9.6827925602576137</v>
      </c>
      <c r="AU28" s="170">
        <f t="shared" si="33"/>
        <v>18.302101143130034</v>
      </c>
    </row>
    <row r="29" spans="2:47" x14ac:dyDescent="0.2">
      <c r="B29" s="34">
        <f>IF(AND((G29-B$6)*(G28-B$6)&lt;=0,ISNUMBER(SWeRF!C30)),(F28+(B$6-G28)*(F29-F28)/(G29-G28)),0)</f>
        <v>0</v>
      </c>
      <c r="C29" s="34">
        <f>IF(AND((G29-C$6)*(G28-C$6)&lt;=0,ISNUMBER(SWeRF!C30)),(F28+(C$6-G28)*(F29-F28)/(G29-G28)),0)</f>
        <v>0</v>
      </c>
      <c r="D29" s="322">
        <f>IF(AND((G29-D$6)*(G28-D$6)&lt;=0,ISNUMBER(SWeRF!C30)),(F28+(D$6-G28)*(F29-F28)/(G29-G28)),0)</f>
        <v>0</v>
      </c>
      <c r="E29" s="34">
        <f>IF(AND((G29-E$6)*(G28-E$6)&lt;=0,ISNUMBER(SWeRF!C30)),(F28+(E$6-G28)*(F29-F28)/(G29-G28)),0)</f>
        <v>0</v>
      </c>
      <c r="F29" s="100">
        <f>IF(ISNUMBER(SWeRF!C30),SWeRF!C30,F28)</f>
        <v>1.9676407311517963</v>
      </c>
      <c r="G29" s="32">
        <f>IF(ISNUMBER(SWeRF!D30),SWeRF!D30,G28)</f>
        <v>14.476412294996008</v>
      </c>
      <c r="H29" s="76">
        <f t="shared" si="20"/>
        <v>1.8961885173611761</v>
      </c>
      <c r="I29" s="35">
        <f t="shared" si="21"/>
        <v>2.2933838582516373</v>
      </c>
      <c r="J29" s="35">
        <f t="shared" si="22"/>
        <v>1.2094703861213212</v>
      </c>
      <c r="K29" s="36">
        <f t="shared" si="0"/>
        <v>30.993487912057983</v>
      </c>
      <c r="L29" s="144"/>
      <c r="M29" s="25">
        <f t="shared" si="23"/>
        <v>4.1273580177039806</v>
      </c>
      <c r="N29" s="33">
        <f t="shared" si="24"/>
        <v>3.9774785896140852</v>
      </c>
      <c r="O29" s="33">
        <f t="shared" si="1"/>
        <v>14.476412294996008</v>
      </c>
      <c r="P29" s="52">
        <f t="shared" si="25"/>
        <v>2.2933838582516373</v>
      </c>
      <c r="Q29" s="53">
        <f t="shared" si="2"/>
        <v>30.993487912058015</v>
      </c>
      <c r="R29" s="82">
        <f t="shared" si="3"/>
        <v>1.1580382868888521</v>
      </c>
      <c r="S29" s="6">
        <f t="shared" si="26"/>
        <v>10.350418744867675</v>
      </c>
      <c r="T29" s="9">
        <f t="shared" si="4"/>
        <v>15.650082090379755</v>
      </c>
      <c r="U29" s="60">
        <f t="shared" si="5"/>
        <v>89.384576885122272</v>
      </c>
      <c r="V29" s="58">
        <f t="shared" si="6"/>
        <v>0.56491561332030282</v>
      </c>
      <c r="W29" s="61">
        <f t="shared" si="7"/>
        <v>50.494743072434609</v>
      </c>
      <c r="X29" s="60">
        <f t="shared" si="27"/>
        <v>89.031988362703487</v>
      </c>
      <c r="Y29" s="58">
        <f t="shared" si="8"/>
        <v>0.52878540365358273</v>
      </c>
      <c r="Z29" s="61">
        <f t="shared" si="9"/>
        <v>47.078815904453243</v>
      </c>
      <c r="AB29" s="25">
        <f t="shared" si="10"/>
        <v>3.2030870459998546</v>
      </c>
      <c r="AC29" s="76">
        <f t="shared" si="34"/>
        <v>3.0867712690506877</v>
      </c>
      <c r="AD29" s="33">
        <f t="shared" si="28"/>
        <v>14.476412294996008</v>
      </c>
      <c r="AE29" s="52">
        <f t="shared" si="35"/>
        <v>2.2933838582516373</v>
      </c>
      <c r="AF29" s="53">
        <f t="shared" si="29"/>
        <v>30.993487912057944</v>
      </c>
      <c r="AG29" s="82">
        <f t="shared" si="11"/>
        <v>1.6478228921549987</v>
      </c>
      <c r="AH29" s="6">
        <f t="shared" si="30"/>
        <v>12.264461835211925</v>
      </c>
      <c r="AI29" s="9">
        <f t="shared" si="12"/>
        <v>22.269180410187843</v>
      </c>
      <c r="AJ29" s="60">
        <f t="shared" si="13"/>
        <v>91.546643227322605</v>
      </c>
      <c r="AK29" s="58">
        <f t="shared" si="14"/>
        <v>0.7848584818535298</v>
      </c>
      <c r="AL29" s="61">
        <f t="shared" si="15"/>
        <v>71.851159422183144</v>
      </c>
      <c r="AN29" s="166">
        <f t="shared" si="16"/>
        <v>6.7314150142624117E-6</v>
      </c>
      <c r="AO29" s="167">
        <f t="shared" si="31"/>
        <v>3.8359690870224811E-2</v>
      </c>
      <c r="AP29" s="299">
        <f t="shared" si="17"/>
        <v>0.61640309129775195</v>
      </c>
      <c r="AQ29" s="168">
        <f t="shared" si="18"/>
        <v>0.64256768170848844</v>
      </c>
      <c r="AR29" s="168">
        <f t="shared" si="36"/>
        <v>61.640309129775197</v>
      </c>
      <c r="AS29" s="169">
        <f t="shared" si="19"/>
        <v>1.4136488997586745</v>
      </c>
      <c r="AT29" s="168">
        <f t="shared" si="32"/>
        <v>11.096441460016289</v>
      </c>
      <c r="AU29" s="170">
        <f t="shared" si="33"/>
        <v>19.104481759092046</v>
      </c>
    </row>
    <row r="30" spans="2:47" x14ac:dyDescent="0.2">
      <c r="B30" s="34">
        <f>IF(AND((G30-B$6)*(G29-B$6)&lt;=0,ISNUMBER(SWeRF!C31)),(F29+(B$6-G29)*(F30-F29)/(G30-G29)),0)</f>
        <v>0</v>
      </c>
      <c r="C30" s="34">
        <f>IF(AND((G30-C$6)*(G29-C$6)&lt;=0,ISNUMBER(SWeRF!C31)),(F29+(C$6-G29)*(F30-F29)/(G30-G29)),0)</f>
        <v>0</v>
      </c>
      <c r="D30" s="322">
        <f>IF(AND((G30-D$6)*(G29-D$6)&lt;=0,ISNUMBER(SWeRF!C31)),(F29+(D$6-G29)*(F30-F29)/(G30-G29)),0)</f>
        <v>0</v>
      </c>
      <c r="E30" s="34">
        <f>IF(AND((G30-E$6)*(G29-E$6)&lt;=0,ISNUMBER(SWeRF!C31)),(F29+(E$6-G29)*(F30-F29)/(G30-G29)),0)</f>
        <v>0</v>
      </c>
      <c r="F30" s="100">
        <f>IF(ISNUMBER(SWeRF!C31),SWeRF!C31,F29)</f>
        <v>2.1151688154535995</v>
      </c>
      <c r="G30" s="32">
        <f>IF(ISNUMBER(SWeRF!D31),SWeRF!D31,G29)</f>
        <v>16.982650140160022</v>
      </c>
      <c r="H30" s="76">
        <f t="shared" si="20"/>
        <v>2.040071644464625</v>
      </c>
      <c r="I30" s="35">
        <f t="shared" si="21"/>
        <v>2.5062378451640139</v>
      </c>
      <c r="J30" s="35">
        <f t="shared" si="22"/>
        <v>1.2285048184284355</v>
      </c>
      <c r="K30" s="36">
        <f t="shared" si="0"/>
        <v>34.657162305067189</v>
      </c>
      <c r="L30" s="144"/>
      <c r="M30" s="25">
        <f t="shared" si="23"/>
        <v>4.4368155380426275</v>
      </c>
      <c r="N30" s="33">
        <f t="shared" si="24"/>
        <v>4.2792903832310607</v>
      </c>
      <c r="O30" s="33">
        <f t="shared" si="1"/>
        <v>16.982650140160022</v>
      </c>
      <c r="P30" s="52">
        <f t="shared" si="25"/>
        <v>2.5062378451640139</v>
      </c>
      <c r="Q30" s="53">
        <f t="shared" si="2"/>
        <v>34.657162305067132</v>
      </c>
      <c r="R30" s="82">
        <f t="shared" si="3"/>
        <v>1.096220027103429</v>
      </c>
      <c r="S30" s="6">
        <f t="shared" si="26"/>
        <v>11.446638771971104</v>
      </c>
      <c r="T30" s="9">
        <f t="shared" si="4"/>
        <v>15.158926545897089</v>
      </c>
      <c r="U30" s="60">
        <f t="shared" si="5"/>
        <v>88.67779189335559</v>
      </c>
      <c r="V30" s="58">
        <f t="shared" si="6"/>
        <v>0.4932425993947076</v>
      </c>
      <c r="W30" s="61">
        <f t="shared" si="7"/>
        <v>43.739664582061643</v>
      </c>
      <c r="X30" s="60">
        <f t="shared" si="27"/>
        <v>88.313950517603601</v>
      </c>
      <c r="Y30" s="58">
        <f t="shared" si="8"/>
        <v>0.45775339675330817</v>
      </c>
      <c r="Z30" s="61">
        <f t="shared" si="9"/>
        <v>40.426010830136626</v>
      </c>
      <c r="AB30" s="25">
        <f t="shared" si="10"/>
        <v>3.4432453677233874</v>
      </c>
      <c r="AC30" s="76">
        <f>SQRT(AB30*AB29)</f>
        <v>3.3209960303429735</v>
      </c>
      <c r="AD30" s="33">
        <f t="shared" si="28"/>
        <v>16.982650140160022</v>
      </c>
      <c r="AE30" s="52">
        <f t="shared" si="35"/>
        <v>2.5062378451640139</v>
      </c>
      <c r="AF30" s="53">
        <f t="shared" si="29"/>
        <v>34.657162305067182</v>
      </c>
      <c r="AG30" s="82">
        <f t="shared" si="11"/>
        <v>1.6608989401084409</v>
      </c>
      <c r="AH30" s="6">
        <f t="shared" si="30"/>
        <v>13.925360775320366</v>
      </c>
      <c r="AI30" s="9">
        <f t="shared" si="12"/>
        <v>22.967510546025334</v>
      </c>
      <c r="AJ30" s="60">
        <f t="shared" si="13"/>
        <v>90.966851660412118</v>
      </c>
      <c r="AK30" s="58">
        <f t="shared" si="14"/>
        <v>0.72851376176905702</v>
      </c>
      <c r="AL30" s="61">
        <f t="shared" si="15"/>
        <v>66.270603299414617</v>
      </c>
      <c r="AN30" s="166">
        <f t="shared" si="16"/>
        <v>7.7917351414047045E-6</v>
      </c>
      <c r="AO30" s="167">
        <f t="shared" si="31"/>
        <v>4.4402038907669736E-2</v>
      </c>
      <c r="AP30" s="299">
        <f t="shared" si="17"/>
        <v>0.55597961092330261</v>
      </c>
      <c r="AQ30" s="168">
        <f t="shared" si="18"/>
        <v>0.63337142819797487</v>
      </c>
      <c r="AR30" s="168">
        <f t="shared" si="36"/>
        <v>55.597961092330259</v>
      </c>
      <c r="AS30" s="169">
        <f t="shared" si="19"/>
        <v>1.3934171420355448</v>
      </c>
      <c r="AT30" s="168">
        <f t="shared" si="32"/>
        <v>12.489858602051834</v>
      </c>
      <c r="AU30" s="170">
        <f t="shared" si="33"/>
        <v>19.268675614077004</v>
      </c>
    </row>
    <row r="31" spans="2:47" x14ac:dyDescent="0.2">
      <c r="B31" s="34">
        <f>IF(AND((G31-B$6)*(G30-B$6)&lt;=0,ISNUMBER(SWeRF!C32)),(F30+(B$6-G30)*(F31-F30)/(G31-G30)),0)</f>
        <v>0</v>
      </c>
      <c r="C31" s="34">
        <f>IF(AND((G31-C$6)*(G30-C$6)&lt;=0,ISNUMBER(SWeRF!C32)),(F30+(C$6-G30)*(F31-F30)/(G31-G30)),0)</f>
        <v>0</v>
      </c>
      <c r="D31" s="322">
        <f>IF(AND((G31-D$6)*(G30-D$6)&lt;=0,ISNUMBER(SWeRF!C32)),(F30+(D$6-G30)*(F31-F30)/(G31-G30)),0)</f>
        <v>0</v>
      </c>
      <c r="E31" s="34">
        <f>IF(AND((G31-E$6)*(G30-E$6)&lt;=0,ISNUMBER(SWeRF!C32)),(F30+(E$6-G30)*(F31-F30)/(G31-G30)),0)</f>
        <v>0</v>
      </c>
      <c r="F31" s="100">
        <f>IF(ISNUMBER(SWeRF!C32),SWeRF!C32,F30)</f>
        <v>2.2702866007320024</v>
      </c>
      <c r="G31" s="32">
        <f>IF(ISNUMBER(SWeRF!D32),SWeRF!D32,G30)</f>
        <v>19.689912399863228</v>
      </c>
      <c r="H31" s="76">
        <f t="shared" si="20"/>
        <v>2.1913556124030822</v>
      </c>
      <c r="I31" s="35">
        <f t="shared" si="21"/>
        <v>2.7072622597032066</v>
      </c>
      <c r="J31" s="35">
        <f t="shared" si="22"/>
        <v>1.2354280813119014</v>
      </c>
      <c r="K31" s="36">
        <f t="shared" si="0"/>
        <v>38.245610175519097</v>
      </c>
      <c r="L31" s="144"/>
      <c r="M31" s="25">
        <f t="shared" si="23"/>
        <v>4.7621933494597206</v>
      </c>
      <c r="N31" s="33">
        <f t="shared" si="24"/>
        <v>4.5966263115513479</v>
      </c>
      <c r="O31" s="33">
        <f t="shared" si="1"/>
        <v>19.689912399863228</v>
      </c>
      <c r="P31" s="52">
        <f t="shared" si="25"/>
        <v>2.7072622597032066</v>
      </c>
      <c r="Q31" s="53">
        <f t="shared" si="2"/>
        <v>38.245610175519126</v>
      </c>
      <c r="R31" s="82">
        <f t="shared" si="3"/>
        <v>1.007958889773346</v>
      </c>
      <c r="S31" s="6">
        <f t="shared" si="26"/>
        <v>12.454597661744451</v>
      </c>
      <c r="T31" s="9">
        <f t="shared" si="4"/>
        <v>14.239478511197728</v>
      </c>
      <c r="U31" s="60">
        <f t="shared" si="5"/>
        <v>87.948327310669455</v>
      </c>
      <c r="V31" s="58">
        <f t="shared" si="6"/>
        <v>0.42333571192203356</v>
      </c>
      <c r="W31" s="61">
        <f t="shared" si="7"/>
        <v>37.231667754414282</v>
      </c>
      <c r="X31" s="60">
        <f t="shared" si="27"/>
        <v>87.573214058413072</v>
      </c>
      <c r="Y31" s="58">
        <f t="shared" si="8"/>
        <v>0.38949360796488963</v>
      </c>
      <c r="Z31" s="61">
        <f t="shared" si="9"/>
        <v>34.109207104692899</v>
      </c>
      <c r="AB31" s="25">
        <f t="shared" si="10"/>
        <v>3.6957588275045308</v>
      </c>
      <c r="AC31" s="76">
        <f t="shared" si="34"/>
        <v>3.5672684876565981</v>
      </c>
      <c r="AD31" s="33">
        <f t="shared" si="28"/>
        <v>19.689912399863228</v>
      </c>
      <c r="AE31" s="52">
        <f t="shared" si="35"/>
        <v>2.7072622597032066</v>
      </c>
      <c r="AF31" s="53">
        <f t="shared" si="29"/>
        <v>38.245610175519147</v>
      </c>
      <c r="AG31" s="82">
        <f t="shared" si="11"/>
        <v>1.6320018238233238</v>
      </c>
      <c r="AH31" s="6">
        <f t="shared" si="30"/>
        <v>15.557362599143689</v>
      </c>
      <c r="AI31" s="9">
        <f t="shared" si="12"/>
        <v>23.055359832972261</v>
      </c>
      <c r="AJ31" s="60">
        <f t="shared" si="13"/>
        <v>90.365961639837991</v>
      </c>
      <c r="AK31" s="58">
        <f t="shared" si="14"/>
        <v>0.66709154481976707</v>
      </c>
      <c r="AL31" s="61">
        <f t="shared" si="15"/>
        <v>60.282368949443338</v>
      </c>
      <c r="AN31" s="166">
        <f t="shared" si="16"/>
        <v>8.9901939962530136E-6</v>
      </c>
      <c r="AO31" s="167">
        <f t="shared" si="31"/>
        <v>5.123158530991339E-2</v>
      </c>
      <c r="AP31" s="299">
        <f t="shared" si="17"/>
        <v>0.48768414690086614</v>
      </c>
      <c r="AQ31" s="168">
        <f t="shared" si="18"/>
        <v>0.60013131161830435</v>
      </c>
      <c r="AR31" s="168">
        <f t="shared" si="36"/>
        <v>48.768414690086615</v>
      </c>
      <c r="AS31" s="169">
        <f t="shared" si="19"/>
        <v>1.3202888855602695</v>
      </c>
      <c r="AT31" s="168">
        <f t="shared" si="32"/>
        <v>13.810147487612104</v>
      </c>
      <c r="AU31" s="170">
        <f t="shared" si="33"/>
        <v>18.651777771151114</v>
      </c>
    </row>
    <row r="32" spans="2:47" x14ac:dyDescent="0.2">
      <c r="B32" s="34">
        <f>IF(AND((G32-B$6)*(G31-B$6)&lt;=0,ISNUMBER(SWeRF!C33)),(F31+(B$6-G31)*(F32-F31)/(G32-G31)),0)</f>
        <v>0</v>
      </c>
      <c r="C32" s="34">
        <f>IF(AND((G32-C$6)*(G31-C$6)&lt;=0,ISNUMBER(SWeRF!C33)),(F31+(C$6-G31)*(F32-F31)/(G32-G31)),0)</f>
        <v>0</v>
      </c>
      <c r="D32" s="322">
        <f>IF(AND((G32-D$6)*(G31-D$6)&lt;=0,ISNUMBER(SWeRF!C33)),(F31+(D$6-G31)*(F32-F31)/(G32-G31)),0)</f>
        <v>0</v>
      </c>
      <c r="E32" s="34">
        <f>IF(AND((G32-E$6)*(G31-E$6)&lt;=0,ISNUMBER(SWeRF!C33)),(F31+(E$6-G31)*(F32-F31)/(G32-G31)),0)</f>
        <v>0</v>
      </c>
      <c r="F32" s="100">
        <f>IF(ISNUMBER(SWeRF!C33),SWeRF!C33,F31)</f>
        <v>2.4333845452593175</v>
      </c>
      <c r="G32" s="32">
        <f>IF(ISNUMBER(SWeRF!D33),SWeRF!D33,G31)</f>
        <v>22.582725131866287</v>
      </c>
      <c r="H32" s="76">
        <f t="shared" si="20"/>
        <v>2.3504213085169572</v>
      </c>
      <c r="I32" s="35">
        <f t="shared" si="21"/>
        <v>2.8928127320030583</v>
      </c>
      <c r="J32" s="35">
        <f t="shared" si="22"/>
        <v>1.230763489728713</v>
      </c>
      <c r="K32" s="36">
        <f t="shared" si="0"/>
        <v>41.68862278770419</v>
      </c>
      <c r="L32" s="144"/>
      <c r="M32" s="25">
        <f t="shared" si="23"/>
        <v>5.1043104841369455</v>
      </c>
      <c r="N32" s="33">
        <f t="shared" si="24"/>
        <v>4.9302853306005012</v>
      </c>
      <c r="O32" s="33">
        <f t="shared" si="1"/>
        <v>22.582725131866287</v>
      </c>
      <c r="P32" s="52">
        <f t="shared" si="25"/>
        <v>2.8928127320030583</v>
      </c>
      <c r="Q32" s="53">
        <f t="shared" si="2"/>
        <v>41.688622787704233</v>
      </c>
      <c r="R32" s="82">
        <f t="shared" si="3"/>
        <v>0.90078486708306371</v>
      </c>
      <c r="S32" s="6">
        <f t="shared" si="26"/>
        <v>13.355382528827514</v>
      </c>
      <c r="T32" s="9">
        <f t="shared" si="4"/>
        <v>12.98130367073426</v>
      </c>
      <c r="U32" s="60">
        <f t="shared" si="5"/>
        <v>87.196173221288788</v>
      </c>
      <c r="V32" s="58">
        <f t="shared" si="6"/>
        <v>0.3571110887908191</v>
      </c>
      <c r="W32" s="61">
        <f t="shared" si="7"/>
        <v>31.138720357447301</v>
      </c>
      <c r="X32" s="60">
        <f t="shared" si="27"/>
        <v>86.809809655577212</v>
      </c>
      <c r="Y32" s="58">
        <f t="shared" si="8"/>
        <v>0.32572674112643285</v>
      </c>
      <c r="Z32" s="61">
        <f t="shared" si="9"/>
        <v>28.276276396917108</v>
      </c>
      <c r="AB32" s="25">
        <f t="shared" si="10"/>
        <v>3.9612630453598094</v>
      </c>
      <c r="AC32" s="76">
        <f t="shared" si="34"/>
        <v>3.8262086806597462</v>
      </c>
      <c r="AD32" s="33">
        <f t="shared" si="28"/>
        <v>22.582725131866287</v>
      </c>
      <c r="AE32" s="52">
        <f t="shared" si="35"/>
        <v>2.8928127320030583</v>
      </c>
      <c r="AF32" s="53">
        <f t="shared" si="29"/>
        <v>41.688622787704155</v>
      </c>
      <c r="AG32" s="82">
        <f t="shared" si="11"/>
        <v>1.5634073286465355</v>
      </c>
      <c r="AH32" s="6">
        <f t="shared" si="30"/>
        <v>17.120769927790224</v>
      </c>
      <c r="AI32" s="9">
        <f t="shared" si="12"/>
        <v>22.530424339755982</v>
      </c>
      <c r="AJ32" s="60">
        <f t="shared" si="13"/>
        <v>89.743666083345602</v>
      </c>
      <c r="AK32" s="58">
        <f t="shared" si="14"/>
        <v>0.60221007421562045</v>
      </c>
      <c r="AL32" s="61">
        <f t="shared" si="15"/>
        <v>54.044539812433413</v>
      </c>
      <c r="AN32" s="166">
        <f t="shared" si="16"/>
        <v>1.0342720150530272E-5</v>
      </c>
      <c r="AO32" s="167">
        <f t="shared" si="31"/>
        <v>5.8939100752363735E-2</v>
      </c>
      <c r="AP32" s="299">
        <f t="shared" si="17"/>
        <v>0.41060899247636268</v>
      </c>
      <c r="AQ32" s="168">
        <f t="shared" si="18"/>
        <v>0.53991587332298641</v>
      </c>
      <c r="AR32" s="168">
        <f t="shared" si="36"/>
        <v>41.060899247636264</v>
      </c>
      <c r="AS32" s="169">
        <f t="shared" si="19"/>
        <v>1.18781492131057</v>
      </c>
      <c r="AT32" s="168">
        <f t="shared" si="32"/>
        <v>14.997962408922675</v>
      </c>
      <c r="AU32" s="170">
        <f t="shared" si="33"/>
        <v>17.117723400586353</v>
      </c>
    </row>
    <row r="33" spans="2:47" x14ac:dyDescent="0.2">
      <c r="B33" s="34">
        <f>IF(AND((G33-B$6)*(G32-B$6)&lt;=0,ISNUMBER(SWeRF!C34)),(F32+(B$6-G32)*(F33-F32)/(G33-G32)),0)</f>
        <v>0</v>
      </c>
      <c r="C33" s="34">
        <f>IF(AND((G33-C$6)*(G32-C$6)&lt;=0,ISNUMBER(SWeRF!C34)),(F32+(C$6-G32)*(F33-F32)/(G33-G32)),0)</f>
        <v>0</v>
      </c>
      <c r="D33" s="322">
        <f>IF(AND((G33-D$6)*(G32-D$6)&lt;=0,ISNUMBER(SWeRF!C34)),(F32+(D$6-G32)*(F33-F32)/(G33-G32)),0)</f>
        <v>0</v>
      </c>
      <c r="E33" s="34">
        <f>IF(AND((G33-E$6)*(G32-E$6)&lt;=0,ISNUMBER(SWeRF!C34)),(F32+(E$6-G32)*(F33-F32)/(G33-G32)),0)</f>
        <v>0</v>
      </c>
      <c r="F33" s="100">
        <f>IF(ISNUMBER(SWeRF!C34),SWeRF!C34,F32)</f>
        <v>2.6048731947477859</v>
      </c>
      <c r="G33" s="32">
        <f>IF(ISNUMBER(SWeRF!D34),SWeRF!D34,G32)</f>
        <v>25.642360008451369</v>
      </c>
      <c r="H33" s="76">
        <f t="shared" si="20"/>
        <v>2.5176691948029086</v>
      </c>
      <c r="I33" s="35">
        <f t="shared" si="21"/>
        <v>3.0596348765850827</v>
      </c>
      <c r="J33" s="35">
        <f t="shared" si="22"/>
        <v>1.2152648500847232</v>
      </c>
      <c r="K33" s="36">
        <f t="shared" si="0"/>
        <v>44.919290571711294</v>
      </c>
      <c r="L33" s="144"/>
      <c r="M33" s="25">
        <f t="shared" si="23"/>
        <v>5.4640281100254571</v>
      </c>
      <c r="N33" s="33">
        <f t="shared" si="24"/>
        <v>5.2811074565494236</v>
      </c>
      <c r="O33" s="33">
        <f t="shared" si="1"/>
        <v>25.642360008451369</v>
      </c>
      <c r="P33" s="52">
        <f t="shared" si="25"/>
        <v>3.0596348765850827</v>
      </c>
      <c r="Q33" s="53">
        <f t="shared" si="2"/>
        <v>44.919290571711208</v>
      </c>
      <c r="R33" s="82">
        <f t="shared" si="3"/>
        <v>0.78287573500182728</v>
      </c>
      <c r="S33" s="6">
        <f t="shared" si="26"/>
        <v>14.138258263829341</v>
      </c>
      <c r="T33" s="9">
        <f t="shared" si="4"/>
        <v>11.49360104737034</v>
      </c>
      <c r="U33" s="60">
        <f t="shared" si="5"/>
        <v>86.421401604624194</v>
      </c>
      <c r="V33" s="58">
        <f t="shared" si="6"/>
        <v>0.29607512693151683</v>
      </c>
      <c r="W33" s="61">
        <f t="shared" si="7"/>
        <v>25.587227449688701</v>
      </c>
      <c r="X33" s="60">
        <f t="shared" si="27"/>
        <v>86.023853592541897</v>
      </c>
      <c r="Y33" s="58">
        <f t="shared" si="8"/>
        <v>0.26772720602413136</v>
      </c>
      <c r="Z33" s="61">
        <f t="shared" si="9"/>
        <v>23.030925973760176</v>
      </c>
      <c r="AB33" s="25">
        <f t="shared" si="10"/>
        <v>4.2404263412888294</v>
      </c>
      <c r="AC33" s="76">
        <f t="shared" si="34"/>
        <v>4.0984685142523354</v>
      </c>
      <c r="AD33" s="33">
        <f t="shared" si="28"/>
        <v>25.642360008451369</v>
      </c>
      <c r="AE33" s="52">
        <f t="shared" si="35"/>
        <v>3.0596348765850827</v>
      </c>
      <c r="AF33" s="53">
        <f t="shared" si="29"/>
        <v>44.919290571711343</v>
      </c>
      <c r="AG33" s="82">
        <f t="shared" si="11"/>
        <v>1.4603142809104068</v>
      </c>
      <c r="AH33" s="6">
        <f t="shared" si="30"/>
        <v>18.581084208700631</v>
      </c>
      <c r="AI33" s="9">
        <f t="shared" si="12"/>
        <v>21.439251465013847</v>
      </c>
      <c r="AJ33" s="60">
        <f t="shared" si="13"/>
        <v>89.099703919564945</v>
      </c>
      <c r="AK33" s="58">
        <f t="shared" si="14"/>
        <v>0.53567387808876521</v>
      </c>
      <c r="AL33" s="61">
        <f t="shared" si="15"/>
        <v>47.728383935154106</v>
      </c>
      <c r="AN33" s="166">
        <f t="shared" si="16"/>
        <v>1.1866992683746372E-5</v>
      </c>
      <c r="AO33" s="167">
        <f t="shared" si="31"/>
        <v>6.7625331366916175E-2</v>
      </c>
      <c r="AP33" s="299">
        <f t="shared" si="17"/>
        <v>0.32374668633083831</v>
      </c>
      <c r="AQ33" s="168">
        <f t="shared" si="18"/>
        <v>0.4502484784894018</v>
      </c>
      <c r="AR33" s="168">
        <f t="shared" si="36"/>
        <v>32.374668633083829</v>
      </c>
      <c r="AS33" s="169">
        <f t="shared" si="19"/>
        <v>0.99054665267668396</v>
      </c>
      <c r="AT33" s="168">
        <f t="shared" si="32"/>
        <v>15.988509061599359</v>
      </c>
      <c r="AU33" s="170">
        <f t="shared" si="33"/>
        <v>14.542471474923598</v>
      </c>
    </row>
    <row r="34" spans="2:47" x14ac:dyDescent="0.2">
      <c r="B34" s="34">
        <f>IF(AND((G34-B$6)*(G33-B$6)&lt;=0,ISNUMBER(SWeRF!C35)),(F33+(B$6-G33)*(F34-F33)/(G34-G33)),0)</f>
        <v>0</v>
      </c>
      <c r="C34" s="34">
        <f>IF(AND((G34-C$6)*(G33-C$6)&lt;=0,ISNUMBER(SWeRF!C35)),(F33+(C$6-G33)*(F34-F33)/(G34-G33)),0)</f>
        <v>0</v>
      </c>
      <c r="D34" s="322">
        <f>IF(AND((G34-D$6)*(G33-D$6)&lt;=0,ISNUMBER(SWeRF!C35)),(F33+(D$6-G33)*(F34-F33)/(G34-G33)),0)</f>
        <v>0</v>
      </c>
      <c r="E34" s="34">
        <f>IF(AND((G34-E$6)*(G33-E$6)&lt;=0,ISNUMBER(SWeRF!C35)),(F33+(E$6-G33)*(F34-F33)/(G34-G33)),0)</f>
        <v>0</v>
      </c>
      <c r="F34" s="100">
        <f>IF(ISNUMBER(SWeRF!C35),SWeRF!C35,F33)</f>
        <v>2.785184215764076</v>
      </c>
      <c r="G34" s="32">
        <f>IF(ISNUMBER(SWeRF!D35),SWeRF!D35,G33)</f>
        <v>28.847301317110812</v>
      </c>
      <c r="H34" s="76">
        <f t="shared" si="20"/>
        <v>2.6935203184825758</v>
      </c>
      <c r="I34" s="35">
        <f t="shared" si="21"/>
        <v>3.2049413086594427</v>
      </c>
      <c r="J34" s="35">
        <f t="shared" si="22"/>
        <v>1.1898708491885377</v>
      </c>
      <c r="K34" s="36">
        <f t="shared" si="0"/>
        <v>47.87602269546484</v>
      </c>
      <c r="L34" s="144"/>
      <c r="M34" s="25">
        <f t="shared" si="23"/>
        <v>5.8422516985544153</v>
      </c>
      <c r="N34" s="33">
        <f t="shared" si="24"/>
        <v>5.6499758855012203</v>
      </c>
      <c r="O34" s="33">
        <f t="shared" si="1"/>
        <v>28.847301317110812</v>
      </c>
      <c r="P34" s="52">
        <f t="shared" si="25"/>
        <v>3.2049413086594427</v>
      </c>
      <c r="Q34" s="53">
        <f t="shared" si="2"/>
        <v>47.876022695464883</v>
      </c>
      <c r="R34" s="82">
        <f t="shared" si="3"/>
        <v>0.66208303814711511</v>
      </c>
      <c r="S34" s="6">
        <f t="shared" si="26"/>
        <v>14.800341301976456</v>
      </c>
      <c r="T34" s="9">
        <f t="shared" si="4"/>
        <v>9.8903223204022233</v>
      </c>
      <c r="U34" s="60">
        <f t="shared" si="5"/>
        <v>85.624173997968327</v>
      </c>
      <c r="V34" s="58">
        <f t="shared" si="6"/>
        <v>0.24126592339608521</v>
      </c>
      <c r="W34" s="61">
        <f t="shared" si="7"/>
        <v>20.658195404646897</v>
      </c>
      <c r="X34" s="60">
        <f t="shared" si="27"/>
        <v>85.215555532187864</v>
      </c>
      <c r="Y34" s="58">
        <f t="shared" si="8"/>
        <v>0.21629388970524788</v>
      </c>
      <c r="Z34" s="61">
        <f t="shared" si="9"/>
        <v>18.431603969450467</v>
      </c>
      <c r="AB34" s="25">
        <f t="shared" si="10"/>
        <v>4.5339514175512043</v>
      </c>
      <c r="AC34" s="76">
        <f t="shared" si="34"/>
        <v>4.384733403652719</v>
      </c>
      <c r="AD34" s="33">
        <f t="shared" si="28"/>
        <v>28.847301317110812</v>
      </c>
      <c r="AE34" s="52">
        <f t="shared" si="35"/>
        <v>3.2049413086594427</v>
      </c>
      <c r="AF34" s="53">
        <f t="shared" si="29"/>
        <v>47.876022695464869</v>
      </c>
      <c r="AG34" s="82">
        <f t="shared" si="11"/>
        <v>1.3301790366959367</v>
      </c>
      <c r="AH34" s="6">
        <f t="shared" si="30"/>
        <v>19.911263245396569</v>
      </c>
      <c r="AI34" s="9">
        <f t="shared" si="12"/>
        <v>19.870467386662916</v>
      </c>
      <c r="AJ34" s="60">
        <f t="shared" si="13"/>
        <v>88.433866123032828</v>
      </c>
      <c r="AK34" s="58">
        <f t="shared" si="14"/>
        <v>0.46932253370277843</v>
      </c>
      <c r="AL34" s="61">
        <f t="shared" si="15"/>
        <v>41.504006113994073</v>
      </c>
      <c r="AN34" s="166">
        <f t="shared" si="16"/>
        <v>1.3582629500852673E-5</v>
      </c>
      <c r="AO34" s="167">
        <f t="shared" si="31"/>
        <v>7.7402071890317892E-2</v>
      </c>
      <c r="AP34" s="299">
        <f t="shared" si="17"/>
        <v>0.22597928109682114</v>
      </c>
      <c r="AQ34" s="168">
        <f t="shared" si="18"/>
        <v>0.32920469676743913</v>
      </c>
      <c r="AR34" s="168">
        <f t="shared" si="36"/>
        <v>22.597928109682115</v>
      </c>
      <c r="AS34" s="169">
        <f t="shared" si="19"/>
        <v>0.72425033288836604</v>
      </c>
      <c r="AT34" s="168">
        <f t="shared" si="32"/>
        <v>16.712759394487726</v>
      </c>
      <c r="AU34" s="170">
        <f t="shared" si="33"/>
        <v>10.818989190496239</v>
      </c>
    </row>
    <row r="35" spans="2:47" x14ac:dyDescent="0.2">
      <c r="B35" s="34">
        <f>IF(AND((G35-B$6)*(G34-B$6)&lt;=0,ISNUMBER(SWeRF!C36)),(F34+(B$6-G34)*(F35-F34)/(G35-G34)),0)</f>
        <v>0</v>
      </c>
      <c r="C35" s="34">
        <f>IF(AND((G35-C$6)*(G34-C$6)&lt;=0,ISNUMBER(SWeRF!C36)),(F34+(C$6-G34)*(F35-F34)/(G35-G34)),0)</f>
        <v>0</v>
      </c>
      <c r="D35" s="322">
        <f>IF(AND((G35-D$6)*(G34-D$6)&lt;=0,ISNUMBER(SWeRF!C36)),(F34+(D$6-G34)*(F35-F34)/(G35-G34)),0)</f>
        <v>0</v>
      </c>
      <c r="E35" s="34">
        <f>IF(AND((G35-E$6)*(G34-E$6)&lt;=0,ISNUMBER(SWeRF!C36)),(F34+(E$6-G34)*(F35-F34)/(G35-G34)),0)</f>
        <v>0</v>
      </c>
      <c r="F35" s="100">
        <f>IF(ISNUMBER(SWeRF!C36),SWeRF!C36,F34)</f>
        <v>2.9747714823086375</v>
      </c>
      <c r="G35" s="32">
        <f>IF(ISNUMBER(SWeRF!D36),SWeRF!D36,G34)</f>
        <v>32.173771405923603</v>
      </c>
      <c r="H35" s="76">
        <f t="shared" si="20"/>
        <v>2.8784173738412435</v>
      </c>
      <c r="I35" s="35">
        <f t="shared" si="21"/>
        <v>3.3264700888127905</v>
      </c>
      <c r="J35" s="35">
        <f t="shared" si="22"/>
        <v>1.1556593977799756</v>
      </c>
      <c r="K35" s="36">
        <f t="shared" si="0"/>
        <v>50.504284764037216</v>
      </c>
      <c r="L35" s="144"/>
      <c r="M35" s="25">
        <f t="shared" si="23"/>
        <v>6.2399333038590736</v>
      </c>
      <c r="N35" s="33">
        <f t="shared" si="24"/>
        <v>6.037819220822775</v>
      </c>
      <c r="O35" s="33">
        <f t="shared" si="1"/>
        <v>32.173771405923603</v>
      </c>
      <c r="P35" s="52">
        <f t="shared" si="25"/>
        <v>3.3264700888127905</v>
      </c>
      <c r="Q35" s="53">
        <f t="shared" si="2"/>
        <v>50.504284764037195</v>
      </c>
      <c r="R35" s="82">
        <f t="shared" si="3"/>
        <v>0.54516219881090588</v>
      </c>
      <c r="S35" s="6">
        <f t="shared" si="26"/>
        <v>15.345503500787363</v>
      </c>
      <c r="T35" s="9">
        <f t="shared" si="4"/>
        <v>8.2769500991247877</v>
      </c>
      <c r="U35" s="60">
        <f t="shared" si="5"/>
        <v>84.804749319914151</v>
      </c>
      <c r="V35" s="58">
        <f t="shared" si="6"/>
        <v>0.19325108329922402</v>
      </c>
      <c r="W35" s="61">
        <f t="shared" si="7"/>
        <v>16.388609674992541</v>
      </c>
      <c r="X35" s="60">
        <f t="shared" si="27"/>
        <v>84.385226406192189</v>
      </c>
      <c r="Y35" s="58">
        <f t="shared" si="8"/>
        <v>0.17177223205027625</v>
      </c>
      <c r="Z35" s="61">
        <f t="shared" si="9"/>
        <v>14.495038691859543</v>
      </c>
      <c r="AB35" s="25">
        <f t="shared" si="10"/>
        <v>4.8425771274895899</v>
      </c>
      <c r="AC35" s="76">
        <f t="shared" si="34"/>
        <v>4.6857240029458058</v>
      </c>
      <c r="AD35" s="33">
        <f t="shared" si="28"/>
        <v>32.173771405923603</v>
      </c>
      <c r="AE35" s="52">
        <f t="shared" si="35"/>
        <v>3.3264700888127905</v>
      </c>
      <c r="AF35" s="53">
        <f t="shared" si="29"/>
        <v>50.504284764037159</v>
      </c>
      <c r="AG35" s="82">
        <f t="shared" si="11"/>
        <v>1.1818053485180753</v>
      </c>
      <c r="AH35" s="6">
        <f t="shared" si="30"/>
        <v>21.093068593914644</v>
      </c>
      <c r="AI35" s="9">
        <f t="shared" si="12"/>
        <v>17.942813932988351</v>
      </c>
      <c r="AJ35" s="60">
        <f t="shared" si="13"/>
        <v>87.746002092466554</v>
      </c>
      <c r="AK35" s="58">
        <f t="shared" si="14"/>
        <v>0.40488807915493941</v>
      </c>
      <c r="AL35" s="61">
        <f t="shared" si="15"/>
        <v>35.527310240744079</v>
      </c>
      <c r="AN35" s="166">
        <f t="shared" si="16"/>
        <v>1.5511395708385998E-5</v>
      </c>
      <c r="AO35" s="167">
        <f t="shared" si="31"/>
        <v>8.8393353117987267E-2</v>
      </c>
      <c r="AP35" s="299">
        <f t="shared" si="17"/>
        <v>0.11606646882012739</v>
      </c>
      <c r="AQ35" s="168">
        <f t="shared" si="18"/>
        <v>0.17549619856558007</v>
      </c>
      <c r="AR35" s="168">
        <f t="shared" si="36"/>
        <v>11.60664688201274</v>
      </c>
      <c r="AS35" s="169">
        <f t="shared" si="19"/>
        <v>0.38609163684427611</v>
      </c>
      <c r="AT35" s="168">
        <f t="shared" si="32"/>
        <v>17.098851031332003</v>
      </c>
      <c r="AU35" s="170">
        <f t="shared" si="33"/>
        <v>5.8618539928479603</v>
      </c>
    </row>
    <row r="36" spans="2:47" x14ac:dyDescent="0.2">
      <c r="B36" s="34">
        <f>IF(AND((G36-B$6)*(G35-B$6)&lt;=0,ISNUMBER(SWeRF!C37)),(F35+(B$6-G35)*(F36-F35)/(G36-G35)),0)</f>
        <v>0</v>
      </c>
      <c r="C36" s="34">
        <f>IF(AND((G36-C$6)*(G35-C$6)&lt;=0,ISNUMBER(SWeRF!C37)),(F35+(C$6-G35)*(F36-F35)/(G36-G35)),0)</f>
        <v>0</v>
      </c>
      <c r="D36" s="322">
        <f>IF(AND((G36-D$6)*(G35-D$6)&lt;=0,ISNUMBER(SWeRF!C37)),(F35+(D$6-G35)*(F36-F35)/(G36-G35)),0)</f>
        <v>0</v>
      </c>
      <c r="E36" s="34">
        <f>IF(AND((G36-E$6)*(G35-E$6)&lt;=0,ISNUMBER(SWeRF!C37)),(F35+(E$6-G35)*(F36-F35)/(G36-G35)),0)</f>
        <v>0</v>
      </c>
      <c r="F36" s="100">
        <f>IF(ISNUMBER(SWeRF!C37),SWeRF!C37,F35)</f>
        <v>3.1741122182949932</v>
      </c>
      <c r="G36" s="32">
        <f>IF(ISNUMBER(SWeRF!D37),SWeRF!D37,G35)</f>
        <v>35.596295327168946</v>
      </c>
      <c r="H36" s="76">
        <f t="shared" si="20"/>
        <v>3.072825818140585</v>
      </c>
      <c r="I36" s="35">
        <f t="shared" si="21"/>
        <v>3.4225239212453431</v>
      </c>
      <c r="J36" s="35">
        <f t="shared" si="22"/>
        <v>1.113803425186126</v>
      </c>
      <c r="K36" s="36">
        <f t="shared" si="0"/>
        <v>52.758006618006512</v>
      </c>
      <c r="L36" s="144"/>
      <c r="M36" s="25">
        <f t="shared" si="23"/>
        <v>6.6580739592655531</v>
      </c>
      <c r="N36" s="33">
        <f t="shared" si="24"/>
        <v>6.4456138139030612</v>
      </c>
      <c r="O36" s="33">
        <f t="shared" si="1"/>
        <v>35.596295327168946</v>
      </c>
      <c r="P36" s="52">
        <f t="shared" si="25"/>
        <v>3.4225239212453431</v>
      </c>
      <c r="Q36" s="53">
        <f t="shared" si="2"/>
        <v>52.75800661800659</v>
      </c>
      <c r="R36" s="82">
        <f t="shared" si="3"/>
        <v>0.43728824010362344</v>
      </c>
      <c r="S36" s="6">
        <f t="shared" si="26"/>
        <v>15.782791740890985</v>
      </c>
      <c r="T36" s="9">
        <f t="shared" si="4"/>
        <v>6.7407727151747165</v>
      </c>
      <c r="U36" s="60">
        <f t="shared" si="5"/>
        <v>83.963491782022672</v>
      </c>
      <c r="V36" s="58">
        <f t="shared" si="6"/>
        <v>0.15217062158046391</v>
      </c>
      <c r="W36" s="61">
        <f t="shared" si="7"/>
        <v>12.776776734536563</v>
      </c>
      <c r="X36" s="60">
        <f t="shared" si="27"/>
        <v>83.533286348963969</v>
      </c>
      <c r="Y36" s="58">
        <f t="shared" si="8"/>
        <v>0.13411423660726218</v>
      </c>
      <c r="Z36" s="61">
        <f t="shared" si="9"/>
        <v>11.203002929987138</v>
      </c>
      <c r="AB36" s="25">
        <f t="shared" si="10"/>
        <v>5.1670803353512262</v>
      </c>
      <c r="AC36" s="76">
        <f t="shared" si="34"/>
        <v>5.0021980216573878</v>
      </c>
      <c r="AD36" s="33">
        <f t="shared" si="28"/>
        <v>35.596295327168946</v>
      </c>
      <c r="AE36" s="52">
        <f t="shared" si="35"/>
        <v>3.4225239212453431</v>
      </c>
      <c r="AF36" s="53">
        <f t="shared" si="29"/>
        <v>52.758006618006476</v>
      </c>
      <c r="AG36" s="82">
        <f t="shared" si="11"/>
        <v>1.0243506797733972</v>
      </c>
      <c r="AH36" s="6">
        <f t="shared" si="30"/>
        <v>22.117419273688043</v>
      </c>
      <c r="AI36" s="9">
        <f t="shared" si="12"/>
        <v>15.790305980675226</v>
      </c>
      <c r="AJ36" s="60">
        <f t="shared" si="13"/>
        <v>87.036026352712298</v>
      </c>
      <c r="AK36" s="58">
        <f t="shared" si="14"/>
        <v>0.34387698688833723</v>
      </c>
      <c r="AL36" s="61">
        <f t="shared" si="15"/>
        <v>29.929686492904622</v>
      </c>
      <c r="AN36" s="166">
        <f t="shared" si="16"/>
        <v>1.7677434175494785E-5</v>
      </c>
      <c r="AO36" s="167">
        <f t="shared" si="31"/>
        <v>0.10073675578076501</v>
      </c>
      <c r="AP36" s="299">
        <f t="shared" si="17"/>
        <v>0</v>
      </c>
      <c r="AQ36" s="168">
        <f t="shared" si="18"/>
        <v>0</v>
      </c>
      <c r="AR36" s="168">
        <f t="shared" si="36"/>
        <v>0</v>
      </c>
      <c r="AS36" s="169">
        <f t="shared" si="19"/>
        <v>0</v>
      </c>
      <c r="AT36" s="168">
        <f t="shared" si="32"/>
        <v>17.098851031332003</v>
      </c>
      <c r="AU36" s="170">
        <f t="shared" si="33"/>
        <v>0</v>
      </c>
    </row>
    <row r="37" spans="2:47" x14ac:dyDescent="0.2">
      <c r="B37" s="34">
        <f>IF(AND((G37-B$6)*(G36-B$6)&lt;=0,ISNUMBER(SWeRF!C38)),(F36+(B$6-G36)*(F37-F36)/(G37-G36)),0)</f>
        <v>0</v>
      </c>
      <c r="C37" s="34">
        <f>IF(AND((G37-C$6)*(G36-C$6)&lt;=0,ISNUMBER(SWeRF!C38)),(F36+(C$6-G36)*(F37-F36)/(G37-G36)),0)</f>
        <v>0</v>
      </c>
      <c r="D37" s="322">
        <f>IF(AND((G37-D$6)*(G36-D$6)&lt;=0,ISNUMBER(SWeRF!C38)),(F36+(D$6-G36)*(F37-F36)/(G37-G36)),0)</f>
        <v>0</v>
      </c>
      <c r="E37" s="34">
        <f>IF(AND((G37-E$6)*(G36-E$6)&lt;=0,ISNUMBER(SWeRF!C38)),(F36+(E$6-G36)*(F37-F36)/(G37-G36)),0)</f>
        <v>0</v>
      </c>
      <c r="F37" s="100">
        <f>IF(ISNUMBER(SWeRF!C38),SWeRF!C38,F36)</f>
        <v>3.3837081988048028</v>
      </c>
      <c r="G37" s="32">
        <f>IF(ISNUMBER(SWeRF!D38),SWeRF!D38,G36)</f>
        <v>39.088285455715564</v>
      </c>
      <c r="H37" s="76">
        <f t="shared" si="20"/>
        <v>3.2772350445110385</v>
      </c>
      <c r="I37" s="35">
        <f t="shared" si="21"/>
        <v>3.4919901285466182</v>
      </c>
      <c r="J37" s="35">
        <f t="shared" si="22"/>
        <v>1.0655293505405625</v>
      </c>
      <c r="K37" s="36">
        <f t="shared" si="0"/>
        <v>54.600629251208261</v>
      </c>
      <c r="L37" s="144"/>
      <c r="M37" s="25">
        <f t="shared" si="23"/>
        <v>7.097726197064727</v>
      </c>
      <c r="N37" s="33">
        <f t="shared" si="24"/>
        <v>6.8743862244329561</v>
      </c>
      <c r="O37" s="33">
        <f t="shared" si="1"/>
        <v>39.088285455715564</v>
      </c>
      <c r="P37" s="52">
        <f t="shared" si="25"/>
        <v>3.4919901285466182</v>
      </c>
      <c r="Q37" s="53">
        <f t="shared" si="2"/>
        <v>54.600629251208261</v>
      </c>
      <c r="R37" s="82">
        <f t="shared" si="3"/>
        <v>0.34187067951895744</v>
      </c>
      <c r="S37" s="6">
        <f t="shared" si="26"/>
        <v>16.124662420409944</v>
      </c>
      <c r="T37" s="9">
        <f t="shared" si="4"/>
        <v>5.3454773745429378</v>
      </c>
      <c r="U37" s="60">
        <f t="shared" si="5"/>
        <v>83.100878802735778</v>
      </c>
      <c r="V37" s="58">
        <f t="shared" si="6"/>
        <v>0.11781029170690649</v>
      </c>
      <c r="W37" s="61">
        <f t="shared" si="7"/>
        <v>9.7901387728505842</v>
      </c>
      <c r="X37" s="60">
        <f t="shared" si="27"/>
        <v>82.660272583520566</v>
      </c>
      <c r="Y37" s="58">
        <f t="shared" si="8"/>
        <v>0.10296124589624833</v>
      </c>
      <c r="Z37" s="61">
        <f t="shared" si="9"/>
        <v>8.5108046513227755</v>
      </c>
      <c r="AB37" s="25">
        <f t="shared" si="10"/>
        <v>5.508277871789506</v>
      </c>
      <c r="AC37" s="76">
        <f t="shared" si="34"/>
        <v>5.3349521340846033</v>
      </c>
      <c r="AD37" s="33">
        <f t="shared" si="28"/>
        <v>39.088285455715564</v>
      </c>
      <c r="AE37" s="52">
        <f t="shared" si="35"/>
        <v>3.4919901285466182</v>
      </c>
      <c r="AF37" s="53">
        <f t="shared" si="29"/>
        <v>54.600629251208296</v>
      </c>
      <c r="AG37" s="82">
        <f t="shared" si="11"/>
        <v>0.8664067532072306</v>
      </c>
      <c r="AH37" s="6">
        <f t="shared" si="30"/>
        <v>22.983826026895272</v>
      </c>
      <c r="AI37" s="9">
        <f t="shared" si="12"/>
        <v>13.547104135801266</v>
      </c>
      <c r="AJ37" s="60">
        <f t="shared" si="13"/>
        <v>86.303925553118404</v>
      </c>
      <c r="AK37" s="58">
        <f t="shared" si="14"/>
        <v>0.28748703994339009</v>
      </c>
      <c r="AL37" s="61">
        <f t="shared" si="15"/>
        <v>24.811260092760715</v>
      </c>
      <c r="AN37" s="166">
        <f t="shared" si="16"/>
        <v>2.0107520631142042E-5</v>
      </c>
      <c r="AO37" s="167">
        <f t="shared" si="31"/>
        <v>0.11458486424370208</v>
      </c>
      <c r="AP37" s="299">
        <f t="shared" si="17"/>
        <v>0</v>
      </c>
      <c r="AQ37" s="168">
        <f t="shared" si="18"/>
        <v>0</v>
      </c>
      <c r="AR37" s="168">
        <f t="shared" si="36"/>
        <v>0</v>
      </c>
      <c r="AS37" s="169">
        <f t="shared" si="19"/>
        <v>0</v>
      </c>
      <c r="AT37" s="168">
        <f t="shared" si="32"/>
        <v>17.098851031332003</v>
      </c>
      <c r="AU37" s="170">
        <f t="shared" si="33"/>
        <v>0</v>
      </c>
    </row>
    <row r="38" spans="2:47" x14ac:dyDescent="0.2">
      <c r="B38" s="34">
        <f>IF(AND((G38-B$6)*(G37-B$6)&lt;=0,ISNUMBER(SWeRF!C39)),(F37+(B$6-G37)*(F38-F37)/(G38-G37)),0)</f>
        <v>0</v>
      </c>
      <c r="C38" s="34">
        <f>IF(AND((G38-C$6)*(G37-C$6)&lt;=0,ISNUMBER(SWeRF!C39)),(F37+(C$6-G37)*(F38-F37)/(G38-G37)),0)</f>
        <v>0</v>
      </c>
      <c r="D38" s="322">
        <f>IF(AND((G38-D$6)*(G37-D$6)&lt;=0,ISNUMBER(SWeRF!C39)),(F37+(D$6-G37)*(F38-F37)/(G38-G37)),0)</f>
        <v>0</v>
      </c>
      <c r="E38" s="34">
        <f>IF(AND((G38-E$6)*(G37-E$6)&lt;=0,ISNUMBER(SWeRF!C39)),(F37+(E$6-G37)*(F38-F37)/(G38-G37)),0)</f>
        <v>0</v>
      </c>
      <c r="F38" s="100">
        <f>IF(ISNUMBER(SWeRF!C39),SWeRF!C39,F37)</f>
        <v>3.6040870131424581</v>
      </c>
      <c r="G38" s="32">
        <f>IF(ISNUMBER(SWeRF!D39),SWeRF!D39,G37)</f>
        <v>42.622627528486987</v>
      </c>
      <c r="H38" s="76">
        <f t="shared" si="20"/>
        <v>3.4921596148481027</v>
      </c>
      <c r="I38" s="35">
        <f t="shared" si="21"/>
        <v>3.5343420727714232</v>
      </c>
      <c r="J38" s="35">
        <f t="shared" si="22"/>
        <v>1.0120791895490595</v>
      </c>
      <c r="K38" s="36">
        <f t="shared" si="0"/>
        <v>56.00577663822191</v>
      </c>
      <c r="L38" s="144"/>
      <c r="M38" s="25">
        <f t="shared" si="23"/>
        <v>7.559996697917887</v>
      </c>
      <c r="N38" s="33">
        <f t="shared" si="24"/>
        <v>7.3252158065503181</v>
      </c>
      <c r="O38" s="33">
        <f t="shared" si="1"/>
        <v>42.622627528486987</v>
      </c>
      <c r="P38" s="52">
        <f t="shared" si="25"/>
        <v>3.5343420727714232</v>
      </c>
      <c r="Q38" s="53">
        <f t="shared" si="2"/>
        <v>56.005776638221896</v>
      </c>
      <c r="R38" s="82">
        <f t="shared" si="3"/>
        <v>0.26062639895090844</v>
      </c>
      <c r="S38" s="6">
        <f t="shared" si="26"/>
        <v>16.385288819360852</v>
      </c>
      <c r="T38" s="9">
        <f t="shared" si="4"/>
        <v>4.1299295838172529</v>
      </c>
      <c r="U38" s="60">
        <f t="shared" si="5"/>
        <v>82.21750882291559</v>
      </c>
      <c r="V38" s="58">
        <f t="shared" si="6"/>
        <v>8.9690306738844594E-2</v>
      </c>
      <c r="W38" s="61">
        <f t="shared" si="7"/>
        <v>7.374113585630961</v>
      </c>
      <c r="X38" s="60">
        <f t="shared" si="27"/>
        <v>81.766847151434646</v>
      </c>
      <c r="Y38" s="58">
        <f t="shared" si="8"/>
        <v>7.7735179728390169E-2</v>
      </c>
      <c r="Z38" s="61">
        <f t="shared" si="9"/>
        <v>6.3561605591405801</v>
      </c>
      <c r="AB38" s="25">
        <f t="shared" si="10"/>
        <v>5.8670285899678918</v>
      </c>
      <c r="AC38" s="76">
        <f t="shared" si="34"/>
        <v>5.6848239863056902</v>
      </c>
      <c r="AD38" s="33">
        <f t="shared" si="28"/>
        <v>42.622627528486987</v>
      </c>
      <c r="AE38" s="52">
        <f t="shared" si="35"/>
        <v>3.5343420727714232</v>
      </c>
      <c r="AF38" s="53">
        <f t="shared" si="29"/>
        <v>56.005776638221874</v>
      </c>
      <c r="AG38" s="82">
        <f t="shared" si="11"/>
        <v>0.71527775299813723</v>
      </c>
      <c r="AH38" s="6">
        <f t="shared" si="30"/>
        <v>23.699103779893409</v>
      </c>
      <c r="AI38" s="9">
        <f t="shared" si="12"/>
        <v>11.334411113548635</v>
      </c>
      <c r="AJ38" s="60">
        <f t="shared" si="13"/>
        <v>85.549765726291653</v>
      </c>
      <c r="AK38" s="58">
        <f t="shared" si="14"/>
        <v>0.2365632687010778</v>
      </c>
      <c r="AL38" s="61">
        <f t="shared" si="15"/>
        <v>20.237932216822987</v>
      </c>
      <c r="AN38" s="166">
        <f t="shared" si="16"/>
        <v>2.2831345897442994E-5</v>
      </c>
      <c r="AO38" s="167">
        <f t="shared" si="31"/>
        <v>0.13010687484302347</v>
      </c>
      <c r="AP38" s="299">
        <f t="shared" si="17"/>
        <v>0</v>
      </c>
      <c r="AQ38" s="168">
        <f t="shared" si="18"/>
        <v>0</v>
      </c>
      <c r="AR38" s="168">
        <f t="shared" si="36"/>
        <v>0</v>
      </c>
      <c r="AS38" s="169">
        <f t="shared" si="19"/>
        <v>0</v>
      </c>
      <c r="AT38" s="168">
        <f t="shared" si="32"/>
        <v>17.098851031332003</v>
      </c>
      <c r="AU38" s="170">
        <f t="shared" si="33"/>
        <v>0</v>
      </c>
    </row>
    <row r="39" spans="2:47" x14ac:dyDescent="0.2">
      <c r="B39" s="34">
        <f>IF(AND((G39-B$6)*(G38-B$6)&lt;=0,ISNUMBER(SWeRF!C40)),(F38+(B$6-G38)*(F39-F38)/(G39-G38)),0)</f>
        <v>0</v>
      </c>
      <c r="C39" s="34">
        <f>IF(AND((G39-C$6)*(G38-C$6)&lt;=0,ISNUMBER(SWeRF!C40)),(F38+(C$6-G38)*(F39-F38)/(G39-G38)),0)</f>
        <v>0</v>
      </c>
      <c r="D39" s="322">
        <f>IF(AND((G39-D$6)*(G38-D$6)&lt;=0,ISNUMBER(SWeRF!C40)),(F38+(D$6-G38)*(F39-F38)/(G39-G38)),0)</f>
        <v>0</v>
      </c>
      <c r="E39" s="34">
        <f>IF(AND((G39-E$6)*(G38-E$6)&lt;=0,ISNUMBER(SWeRF!C40)),(F38+(E$6-G38)*(F39-F38)/(G39-G38)),0)</f>
        <v>0</v>
      </c>
      <c r="F39" s="100">
        <f>IF(ISNUMBER(SWeRF!C40),SWeRF!C40,F38)</f>
        <v>3.8358033928685358</v>
      </c>
      <c r="G39" s="32">
        <f>IF(ISNUMBER(SWeRF!D40),SWeRF!D40,G38)</f>
        <v>46.172250798313719</v>
      </c>
      <c r="H39" s="76">
        <f t="shared" si="20"/>
        <v>3.7181405558699994</v>
      </c>
      <c r="I39" s="35">
        <f t="shared" si="21"/>
        <v>3.549623269826732</v>
      </c>
      <c r="J39" s="35">
        <f t="shared" si="22"/>
        <v>0.95467699956172414</v>
      </c>
      <c r="K39" s="36">
        <f t="shared" si="0"/>
        <v>56.957554115097921</v>
      </c>
      <c r="L39" s="144"/>
      <c r="M39" s="25">
        <f t="shared" si="23"/>
        <v>8.046049076563218</v>
      </c>
      <c r="N39" s="33">
        <f t="shared" si="24"/>
        <v>7.799237427473483</v>
      </c>
      <c r="O39" s="33">
        <f t="shared" si="1"/>
        <v>46.172250798313719</v>
      </c>
      <c r="P39" s="52">
        <f t="shared" si="25"/>
        <v>3.549623269826732</v>
      </c>
      <c r="Q39" s="53">
        <f t="shared" si="2"/>
        <v>56.957554115097814</v>
      </c>
      <c r="R39" s="82">
        <f t="shared" si="3"/>
        <v>0.19383622171961917</v>
      </c>
      <c r="S39" s="6">
        <f t="shared" si="26"/>
        <v>16.57912504108047</v>
      </c>
      <c r="T39" s="9">
        <f t="shared" si="4"/>
        <v>3.1103123483299244</v>
      </c>
      <c r="U39" s="60">
        <f t="shared" si="5"/>
        <v>81.314108906849555</v>
      </c>
      <c r="V39" s="58">
        <f t="shared" si="6"/>
        <v>6.7156300853988271E-2</v>
      </c>
      <c r="W39" s="61">
        <f t="shared" si="7"/>
        <v>5.4607547614223559</v>
      </c>
      <c r="X39" s="60">
        <f t="shared" si="27"/>
        <v>80.853804362953298</v>
      </c>
      <c r="Y39" s="58">
        <f t="shared" si="8"/>
        <v>5.7726590082683438E-2</v>
      </c>
      <c r="Z39" s="61">
        <f t="shared" si="9"/>
        <v>4.6674144210856863</v>
      </c>
      <c r="AB39" s="25">
        <f t="shared" si="10"/>
        <v>6.2442355274417451</v>
      </c>
      <c r="AC39" s="76">
        <f t="shared" si="34"/>
        <v>6.0526943060090153</v>
      </c>
      <c r="AD39" s="33">
        <f t="shared" si="28"/>
        <v>46.172250798313719</v>
      </c>
      <c r="AE39" s="52">
        <f t="shared" si="35"/>
        <v>3.549623269826732</v>
      </c>
      <c r="AF39" s="53">
        <f t="shared" si="29"/>
        <v>56.957554115097928</v>
      </c>
      <c r="AG39" s="82">
        <f t="shared" si="11"/>
        <v>0.57652679296745801</v>
      </c>
      <c r="AH39" s="6">
        <f t="shared" si="30"/>
        <v>24.275630572860866</v>
      </c>
      <c r="AI39" s="9">
        <f t="shared" si="12"/>
        <v>9.2509975039832177</v>
      </c>
      <c r="AJ39" s="60">
        <f t="shared" si="13"/>
        <v>84.773699761258968</v>
      </c>
      <c r="AK39" s="58">
        <f t="shared" si="14"/>
        <v>0.19159143706180126</v>
      </c>
      <c r="AL39" s="61">
        <f t="shared" si="15"/>
        <v>16.241914962305284</v>
      </c>
      <c r="AN39" s="166">
        <f t="shared" si="16"/>
        <v>2.5881828134027883E-5</v>
      </c>
      <c r="AO39" s="167">
        <f t="shared" si="31"/>
        <v>0.14749037524413938</v>
      </c>
      <c r="AP39" s="299">
        <f t="shared" si="17"/>
        <v>0</v>
      </c>
      <c r="AQ39" s="168">
        <f t="shared" si="18"/>
        <v>0</v>
      </c>
      <c r="AR39" s="168">
        <f t="shared" si="36"/>
        <v>0</v>
      </c>
      <c r="AS39" s="169">
        <f t="shared" si="19"/>
        <v>0</v>
      </c>
      <c r="AT39" s="168">
        <f t="shared" si="32"/>
        <v>17.098851031332003</v>
      </c>
      <c r="AU39" s="170">
        <f t="shared" si="33"/>
        <v>0</v>
      </c>
    </row>
    <row r="40" spans="2:47" x14ac:dyDescent="0.2">
      <c r="B40" s="34">
        <f>IF(AND((G40-B$6)*(G39-B$6)&lt;=0,ISNUMBER(SWeRF!C41)),(F39+(B$6-G39)*(F40-F39)/(G40-G39)),0)</f>
        <v>0</v>
      </c>
      <c r="C40" s="34">
        <f>IF(AND((G40-C$6)*(G39-C$6)&lt;=0,ISNUMBER(SWeRF!C41)),(F39+(C$6-G39)*(F40-F39)/(G40-G39)),0)</f>
        <v>0</v>
      </c>
      <c r="D40" s="322">
        <f>IF(AND((G40-D$6)*(G39-D$6)&lt;=0,ISNUMBER(SWeRF!C41)),(F39+(D$6-G39)*(F40-F39)/(G40-G39)),0)</f>
        <v>0</v>
      </c>
      <c r="E40" s="34">
        <f>IF(AND((G40-E$6)*(G39-E$6)&lt;=0,ISNUMBER(SWeRF!C41)),(F39+(E$6-G39)*(F40-F39)/(G40-G39)),0)</f>
        <v>0</v>
      </c>
      <c r="F40" s="100">
        <f>IF(ISNUMBER(SWeRF!C41),SWeRF!C41,F39)</f>
        <v>4.0794406081550028</v>
      </c>
      <c r="G40" s="32">
        <f>IF(ISNUMBER(SWeRF!D41),SWeRF!D41,G39)</f>
        <v>49.710666734670497</v>
      </c>
      <c r="H40" s="76">
        <f t="shared" si="20"/>
        <v>3.9557467216401307</v>
      </c>
      <c r="I40" s="35">
        <f t="shared" si="21"/>
        <v>3.5384159363567775</v>
      </c>
      <c r="J40" s="35">
        <f t="shared" si="22"/>
        <v>0.89450012484360486</v>
      </c>
      <c r="K40" s="36">
        <f t="shared" si="0"/>
        <v>57.450489341642026</v>
      </c>
      <c r="L40" s="144"/>
      <c r="M40" s="25">
        <f t="shared" si="23"/>
        <v>8.5571068108351831</v>
      </c>
      <c r="N40" s="33">
        <f t="shared" si="24"/>
        <v>8.2976443255524774</v>
      </c>
      <c r="O40" s="33">
        <f t="shared" si="1"/>
        <v>49.710666734670497</v>
      </c>
      <c r="P40" s="52">
        <f t="shared" si="25"/>
        <v>3.5384159363567775</v>
      </c>
      <c r="Q40" s="53">
        <f t="shared" si="2"/>
        <v>57.450489341642061</v>
      </c>
      <c r="R40" s="82">
        <f t="shared" si="3"/>
        <v>0.14070061524456162</v>
      </c>
      <c r="S40" s="6">
        <f t="shared" si="26"/>
        <v>16.719825656325032</v>
      </c>
      <c r="T40" s="9">
        <f t="shared" si="4"/>
        <v>2.2844457355663246</v>
      </c>
      <c r="U40" s="60">
        <f t="shared" si="5"/>
        <v>80.391541996305051</v>
      </c>
      <c r="V40" s="58">
        <f t="shared" si="6"/>
        <v>4.9462578800467782E-2</v>
      </c>
      <c r="W40" s="61">
        <f t="shared" si="7"/>
        <v>3.9763729808833537</v>
      </c>
      <c r="X40" s="60">
        <f t="shared" si="27"/>
        <v>79.922077826804141</v>
      </c>
      <c r="Y40" s="58">
        <f t="shared" si="8"/>
        <v>4.2171402712959161E-2</v>
      </c>
      <c r="Z40" s="61">
        <f t="shared" si="9"/>
        <v>3.3704261296906215</v>
      </c>
      <c r="AB40" s="25">
        <f t="shared" si="10"/>
        <v>6.6408481792599172</v>
      </c>
      <c r="AC40" s="76">
        <f t="shared" si="34"/>
        <v>6.4394891205189255</v>
      </c>
      <c r="AD40" s="33">
        <f t="shared" si="28"/>
        <v>49.710666734670497</v>
      </c>
      <c r="AE40" s="52">
        <f t="shared" si="35"/>
        <v>3.5384159363567775</v>
      </c>
      <c r="AF40" s="53">
        <f t="shared" si="29"/>
        <v>57.450489341641976</v>
      </c>
      <c r="AG40" s="82">
        <f t="shared" si="11"/>
        <v>0.45380468141358543</v>
      </c>
      <c r="AH40" s="6">
        <f t="shared" si="30"/>
        <v>24.729435254274453</v>
      </c>
      <c r="AI40" s="9">
        <f t="shared" si="12"/>
        <v>7.3680713295627909</v>
      </c>
      <c r="AJ40" s="60">
        <f t="shared" si="13"/>
        <v>83.975975033970087</v>
      </c>
      <c r="AK40" s="58">
        <f t="shared" si="14"/>
        <v>0.1527232067053208</v>
      </c>
      <c r="AL40" s="61">
        <f t="shared" si="15"/>
        <v>12.825080193393873</v>
      </c>
      <c r="AN40" s="166">
        <f t="shared" si="16"/>
        <v>2.929545827229687E-5</v>
      </c>
      <c r="AO40" s="167">
        <f t="shared" si="31"/>
        <v>0.16694331293581868</v>
      </c>
      <c r="AP40" s="299">
        <f t="shared" si="17"/>
        <v>0</v>
      </c>
      <c r="AQ40" s="168">
        <f t="shared" si="18"/>
        <v>0</v>
      </c>
      <c r="AR40" s="168">
        <f t="shared" si="36"/>
        <v>0</v>
      </c>
      <c r="AS40" s="169">
        <f t="shared" si="19"/>
        <v>0</v>
      </c>
      <c r="AT40" s="168">
        <f t="shared" si="32"/>
        <v>17.098851031332003</v>
      </c>
      <c r="AU40" s="170">
        <f t="shared" si="33"/>
        <v>0</v>
      </c>
    </row>
    <row r="41" spans="2:47" x14ac:dyDescent="0.2">
      <c r="B41" s="34">
        <f>IF(AND((G41-B$6)*(G40-B$6)&lt;=0,ISNUMBER(SWeRF!C42)),(F40+(B$6-G40)*(F41-F40)/(G41-G40)),0)</f>
        <v>4.1006065711557627</v>
      </c>
      <c r="C41" s="34">
        <f>IF(AND((G41-C$6)*(G40-C$6)&lt;=0,ISNUMBER(SWeRF!C42)),(F40+(C$6-G40)*(F41-F40)/(G41-G40)),0)</f>
        <v>0</v>
      </c>
      <c r="D41" s="322">
        <f>IF(AND((G41-D$6)*(G40-D$6)&lt;=0,ISNUMBER(SWeRF!C42)),(F40+(D$6-G40)*(F41-F40)/(G41-G40)),0)</f>
        <v>4.1006065711557627</v>
      </c>
      <c r="E41" s="34">
        <f>IF(AND((G41-E$6)*(G40-E$6)&lt;=0,ISNUMBER(SWeRF!C42)),(F40+(E$6-G40)*(F41-F40)/(G41-G40)),0)</f>
        <v>0</v>
      </c>
      <c r="F41" s="100">
        <f>IF(ISNUMBER(SWeRF!C42),SWeRF!C42,F40)</f>
        <v>4.33561193597704</v>
      </c>
      <c r="G41" s="32">
        <f>IF(ISNUMBER(SWeRF!D42),SWeRF!D42,G40)</f>
        <v>53.212462838154309</v>
      </c>
      <c r="H41" s="76">
        <f t="shared" si="20"/>
        <v>4.205576226015439</v>
      </c>
      <c r="I41" s="35">
        <f t="shared" si="21"/>
        <v>3.5017961034838123</v>
      </c>
      <c r="J41" s="35">
        <f t="shared" si="22"/>
        <v>0.83265548293285341</v>
      </c>
      <c r="K41" s="36">
        <f t="shared" si="0"/>
        <v>57.489144340915267</v>
      </c>
      <c r="L41" s="144"/>
      <c r="M41" s="25">
        <f t="shared" si="23"/>
        <v>9.0944563213696803</v>
      </c>
      <c r="N41" s="33">
        <f t="shared" si="24"/>
        <v>8.8216911149980515</v>
      </c>
      <c r="O41" s="33">
        <f t="shared" si="1"/>
        <v>53.212462838154309</v>
      </c>
      <c r="P41" s="52">
        <f t="shared" si="25"/>
        <v>3.5017961034838123</v>
      </c>
      <c r="Q41" s="53">
        <f t="shared" si="2"/>
        <v>57.489144340915388</v>
      </c>
      <c r="R41" s="82">
        <f t="shared" si="3"/>
        <v>9.9717986502262587E-2</v>
      </c>
      <c r="S41" s="6">
        <f t="shared" si="26"/>
        <v>16.819543642827295</v>
      </c>
      <c r="T41" s="9">
        <f t="shared" si="4"/>
        <v>1.6370746753960783</v>
      </c>
      <c r="U41" s="60">
        <f t="shared" si="5"/>
        <v>79.450813668523296</v>
      </c>
      <c r="V41" s="58">
        <f t="shared" si="6"/>
        <v>3.5841344789780627E-2</v>
      </c>
      <c r="W41" s="61">
        <f t="shared" si="7"/>
        <v>2.847624006522159</v>
      </c>
      <c r="X41" s="60">
        <f t="shared" si="27"/>
        <v>78.972746902366382</v>
      </c>
      <c r="Y41" s="58">
        <f t="shared" ref="Y41:Y72" si="37">1-LOGNORMDIST(M41,LN(M),LN(S))</f>
        <v>3.0311809889484453E-2</v>
      </c>
      <c r="Z41" s="61">
        <f t="shared" ref="Z41:Z72" si="38">Y41*X41</f>
        <v>2.3938068905549019</v>
      </c>
      <c r="AB41" s="25">
        <f t="shared" ref="AB41:AB72" si="39">F41*SQRT(AC$3/1000)</f>
        <v>7.0578648880078756</v>
      </c>
      <c r="AC41" s="76">
        <f t="shared" si="34"/>
        <v>6.84618208865274</v>
      </c>
      <c r="AD41" s="33">
        <f t="shared" si="28"/>
        <v>53.212462838154309</v>
      </c>
      <c r="AE41" s="52">
        <f t="shared" si="35"/>
        <v>3.5017961034838123</v>
      </c>
      <c r="AF41" s="53">
        <f t="shared" si="29"/>
        <v>57.489144340915345</v>
      </c>
      <c r="AG41" s="82">
        <f t="shared" si="11"/>
        <v>0.34892718456870647</v>
      </c>
      <c r="AH41" s="6">
        <f t="shared" si="30"/>
        <v>25.078362438843158</v>
      </c>
      <c r="AI41" s="9">
        <f t="shared" ref="AI41:AI72" si="40">IF(F41=F40,0,AG41/(F41-F40)*H41)</f>
        <v>5.7283533036612386</v>
      </c>
      <c r="AJ41" s="60">
        <f t="shared" si="13"/>
        <v>83.156941125849968</v>
      </c>
      <c r="AK41" s="58">
        <f t="shared" si="14"/>
        <v>0.11982445031197086</v>
      </c>
      <c r="AL41" s="61">
        <f t="shared" si="15"/>
        <v>9.9642347600298962</v>
      </c>
      <c r="AN41" s="166">
        <f t="shared" si="16"/>
        <v>3.3112682154520619E-5</v>
      </c>
      <c r="AO41" s="167">
        <f t="shared" si="31"/>
        <v>0.18869617289086441</v>
      </c>
      <c r="AP41" s="299">
        <f t="shared" si="17"/>
        <v>0</v>
      </c>
      <c r="AQ41" s="168">
        <f t="shared" ref="AQ41:AQ72" si="41">I41*AP41*h/HH</f>
        <v>0</v>
      </c>
      <c r="AR41" s="168">
        <f t="shared" si="36"/>
        <v>0</v>
      </c>
      <c r="AS41" s="169">
        <f t="shared" ref="AS41:AS72" si="42">I41*AP41</f>
        <v>0</v>
      </c>
      <c r="AT41" s="168">
        <f t="shared" si="32"/>
        <v>17.098851031332003</v>
      </c>
      <c r="AU41" s="170">
        <f t="shared" si="33"/>
        <v>0</v>
      </c>
    </row>
    <row r="42" spans="2:47" x14ac:dyDescent="0.2">
      <c r="B42" s="34">
        <f>IF(AND((G42-B$6)*(G41-B$6)&lt;=0,ISNUMBER(SWeRF!C43)),(F41+(B$6-G41)*(F42-F41)/(G42-G41)),0)</f>
        <v>0</v>
      </c>
      <c r="C42" s="34">
        <f>IF(AND((G42-C$6)*(G41-C$6)&lt;=0,ISNUMBER(SWeRF!C43)),(F41+(C$6-G41)*(F42-F41)/(G42-G41)),0)</f>
        <v>0</v>
      </c>
      <c r="D42" s="322">
        <f>IF(AND((G42-D$6)*(G41-D$6)&lt;=0,ISNUMBER(SWeRF!C43)),(F41+(D$6-G41)*(F42-F41)/(G42-G41)),0)</f>
        <v>0</v>
      </c>
      <c r="E42" s="34">
        <f>IF(AND((G42-E$6)*(G41-E$6)&lt;=0,ISNUMBER(SWeRF!C43)),(F41+(E$6-G41)*(F42-F41)/(G42-G41)),0)</f>
        <v>0</v>
      </c>
      <c r="F42" s="100">
        <f>IF(ISNUMBER(SWeRF!C43),SWeRF!C43,F41)</f>
        <v>4.604962203837168</v>
      </c>
      <c r="G42" s="32">
        <f>IF(ISNUMBER(SWeRF!D43),SWeRF!D43,G41)</f>
        <v>56.6537405602514</v>
      </c>
      <c r="H42" s="76">
        <f t="shared" si="20"/>
        <v>4.4682579486506331</v>
      </c>
      <c r="I42" s="35">
        <f t="shared" si="21"/>
        <v>3.4412777220970909</v>
      </c>
      <c r="J42" s="35">
        <f t="shared" si="22"/>
        <v>0.77016093556915632</v>
      </c>
      <c r="K42" s="36">
        <f t="shared" si="0"/>
        <v>57.087437326253564</v>
      </c>
      <c r="L42" s="144"/>
      <c r="M42" s="25">
        <f t="shared" si="23"/>
        <v>9.6594502097470869</v>
      </c>
      <c r="N42" s="33">
        <f t="shared" si="24"/>
        <v>9.3726969449027902</v>
      </c>
      <c r="O42" s="33">
        <f t="shared" si="1"/>
        <v>56.6537405602514</v>
      </c>
      <c r="P42" s="52">
        <f t="shared" si="25"/>
        <v>3.4412777220970909</v>
      </c>
      <c r="Q42" s="53">
        <f t="shared" si="2"/>
        <v>57.08743732625345</v>
      </c>
      <c r="R42" s="82">
        <f t="shared" si="3"/>
        <v>6.9028310635772278E-2</v>
      </c>
      <c r="S42" s="6">
        <f t="shared" si="26"/>
        <v>16.888571953463067</v>
      </c>
      <c r="T42" s="9">
        <f t="shared" si="4"/>
        <v>1.1451122738084063</v>
      </c>
      <c r="U42" s="60">
        <f t="shared" si="5"/>
        <v>78.493078232269824</v>
      </c>
      <c r="V42" s="58">
        <f t="shared" si="6"/>
        <v>2.5555016214778181E-2</v>
      </c>
      <c r="W42" s="61">
        <f t="shared" si="7"/>
        <v>2.0058918869735076</v>
      </c>
      <c r="X42" s="60">
        <f t="shared" si="27"/>
        <v>78.007042400190954</v>
      </c>
      <c r="Y42" s="58">
        <f t="shared" si="37"/>
        <v>2.1439899416371477E-2</v>
      </c>
      <c r="Z42" s="61">
        <f t="shared" si="38"/>
        <v>1.6724631428287191</v>
      </c>
      <c r="AB42" s="25">
        <f t="shared" si="39"/>
        <v>7.496335356808518</v>
      </c>
      <c r="AC42" s="76">
        <f t="shared" si="34"/>
        <v>7.2737969523180137</v>
      </c>
      <c r="AD42" s="33">
        <f t="shared" si="28"/>
        <v>56.6537405602514</v>
      </c>
      <c r="AE42" s="52">
        <f t="shared" si="35"/>
        <v>3.4412777220970909</v>
      </c>
      <c r="AF42" s="53">
        <f t="shared" si="29"/>
        <v>57.087437326253564</v>
      </c>
      <c r="AG42" s="82">
        <f t="shared" si="11"/>
        <v>0.26213568327599518</v>
      </c>
      <c r="AH42" s="6">
        <f t="shared" si="30"/>
        <v>25.340498122119154</v>
      </c>
      <c r="AI42" s="9">
        <f t="shared" si="40"/>
        <v>4.3485750347617023</v>
      </c>
      <c r="AJ42" s="60">
        <f t="shared" si="13"/>
        <v>82.317057547791379</v>
      </c>
      <c r="AK42" s="58">
        <f t="shared" si="14"/>
        <v>9.2537248571468167E-2</v>
      </c>
      <c r="AL42" s="61">
        <f t="shared" si="15"/>
        <v>7.6173940159718203</v>
      </c>
      <c r="AN42" s="166">
        <f t="shared" si="16"/>
        <v>3.7378323264327131E-5</v>
      </c>
      <c r="AO42" s="167">
        <f t="shared" si="31"/>
        <v>0.21300438654116033</v>
      </c>
      <c r="AP42" s="299">
        <f t="shared" si="17"/>
        <v>0</v>
      </c>
      <c r="AQ42" s="168">
        <f t="shared" si="41"/>
        <v>0</v>
      </c>
      <c r="AR42" s="168">
        <f t="shared" si="36"/>
        <v>0</v>
      </c>
      <c r="AS42" s="169">
        <f t="shared" si="42"/>
        <v>0</v>
      </c>
      <c r="AT42" s="168">
        <f t="shared" si="32"/>
        <v>17.098851031332003</v>
      </c>
      <c r="AU42" s="170">
        <f t="shared" ref="AU42:AU73" si="43">IF(F42=F41,0,AS42/(F42-F41)*H42)</f>
        <v>0</v>
      </c>
    </row>
    <row r="43" spans="2:47" x14ac:dyDescent="0.2">
      <c r="B43" s="34">
        <f>IF(AND((G43-B$6)*(G42-B$6)&lt;=0,ISNUMBER(SWeRF!C44)),(F42+(B$6-G42)*(F43-F42)/(G43-G42)),0)</f>
        <v>0</v>
      </c>
      <c r="C43" s="34">
        <f>IF(AND((G43-C$6)*(G42-C$6)&lt;=0,ISNUMBER(SWeRF!C44)),(F42+(C$6-G42)*(F43-F42)/(G43-G42)),0)</f>
        <v>0</v>
      </c>
      <c r="D43" s="322">
        <f>IF(AND((G43-D$6)*(G42-D$6)&lt;=0,ISNUMBER(SWeRF!C44)),(F42+(D$6-G42)*(F43-F42)/(G43-G42)),0)</f>
        <v>0</v>
      </c>
      <c r="E43" s="34">
        <f>IF(AND((G43-E$6)*(G42-E$6)&lt;=0,ISNUMBER(SWeRF!C44)),(F42+(E$6-G42)*(F43-F42)/(G43-G42)),0)</f>
        <v>0</v>
      </c>
      <c r="F43" s="100">
        <f>IF(ISNUMBER(SWeRF!C44),SWeRF!C44,F42)</f>
        <v>4.8881694129075051</v>
      </c>
      <c r="G43" s="32">
        <f>IF(ISNUMBER(SWeRF!D44),SWeRF!D44,G42)</f>
        <v>60.012488926651777</v>
      </c>
      <c r="H43" s="76">
        <f t="shared" si="20"/>
        <v>4.744453118368015</v>
      </c>
      <c r="I43" s="35">
        <f t="shared" ref="I43:I81" si="44">G43-G42</f>
        <v>3.358748366400377</v>
      </c>
      <c r="J43" s="35">
        <f t="shared" ref="J43:J81" si="45">IF(H43=0,0,I43/H43)</f>
        <v>0.70793161669088445</v>
      </c>
      <c r="K43" s="36">
        <f t="shared" ref="K43:K81" si="46">IF(F43=F42,0,I43/(F43-F42)*H43)</f>
        <v>56.267720772687113</v>
      </c>
      <c r="L43" s="144"/>
      <c r="M43" s="25">
        <f t="shared" ref="M43:M81" si="47">F43*SQRT(N$3/1000)</f>
        <v>10.253510663224173</v>
      </c>
      <c r="N43" s="33">
        <f t="shared" si="24"/>
        <v>9.9520488205456843</v>
      </c>
      <c r="O43" s="33">
        <f t="shared" ref="O43:O81" si="48">G43</f>
        <v>60.012488926651777</v>
      </c>
      <c r="P43" s="52">
        <f t="shared" ref="P43:P81" si="49">O43-O42</f>
        <v>3.358748366400377</v>
      </c>
      <c r="Q43" s="53">
        <f t="shared" ref="Q43:Q81" si="50">IF(M43=M42,0,P43/(M43-M42)*N43)</f>
        <v>56.26772077268722</v>
      </c>
      <c r="R43" s="82">
        <f t="shared" ref="R43:R81" si="51">W43*P43/100</f>
        <v>4.6688029475888883E-2</v>
      </c>
      <c r="S43" s="6">
        <f t="shared" ref="S43:S81" si="52">S42+R43</f>
        <v>16.935259982938955</v>
      </c>
      <c r="T43" s="9">
        <f t="shared" ref="T43:T81" si="53">IF(F43=F42,0,R43/(F43-F42)*H43)</f>
        <v>0.78214522774497952</v>
      </c>
      <c r="U43" s="60">
        <f t="shared" ref="U43:U81" si="54">50*(1+EXP(-0.06*N43))</f>
        <v>77.519643979647711</v>
      </c>
      <c r="V43" s="58">
        <f t="shared" ref="V43:V81" si="55">1-LOGNORMDIST(N43,LN(M),LN(S))</f>
        <v>1.7931487041861427E-2</v>
      </c>
      <c r="W43" s="61">
        <f t="shared" ref="W43:W81" si="56">V43*U43</f>
        <v>1.3900424915107641</v>
      </c>
      <c r="X43" s="60">
        <f t="shared" ref="X43:X81" si="57">50*(1+EXP(-0.06*M43))</f>
        <v>77.026351340791834</v>
      </c>
      <c r="Y43" s="58">
        <f t="shared" si="37"/>
        <v>1.4924952655596124E-2</v>
      </c>
      <c r="Z43" s="61">
        <f t="shared" si="38"/>
        <v>1.1496146469946311</v>
      </c>
      <c r="AB43" s="25">
        <f t="shared" si="39"/>
        <v>7.9573632916063302</v>
      </c>
      <c r="AC43" s="76">
        <f t="shared" si="34"/>
        <v>7.7234101140518714</v>
      </c>
      <c r="AD43" s="33">
        <f t="shared" si="28"/>
        <v>60.012488926651777</v>
      </c>
      <c r="AE43" s="52">
        <f t="shared" ref="AE43:AE81" si="58">AD43-AD42</f>
        <v>3.358748366400377</v>
      </c>
      <c r="AF43" s="53">
        <f t="shared" ref="AF43:AF81" si="59">IF(AB43=AB42,0,AE43/(AB43-AB42)*AC43)</f>
        <v>56.267720772687063</v>
      </c>
      <c r="AG43" s="82">
        <f t="shared" ref="AG43:AG81" si="60">AL43*AE43/100</f>
        <v>0.19246360921396022</v>
      </c>
      <c r="AH43" s="6">
        <f t="shared" ref="AH43:AH81" si="61">AH42+AG43</f>
        <v>25.532961731333113</v>
      </c>
      <c r="AI43" s="9">
        <f t="shared" si="40"/>
        <v>3.2242631601964322</v>
      </c>
      <c r="AJ43" s="60">
        <f t="shared" ref="AJ43:AJ81" si="62">50*(1+EXP(-0.06*AC43))</f>
        <v>81.456901372649654</v>
      </c>
      <c r="AK43" s="58">
        <f t="shared" ref="AK43:AK81" si="63">1-LOGNORMDIST(AC43,LN(M),LN(S))</f>
        <v>7.0346625940434171E-2</v>
      </c>
      <c r="AL43" s="61">
        <f t="shared" ref="AL43:AL81" si="64">AK43*AJ43</f>
        <v>5.730218171128624</v>
      </c>
      <c r="AN43" s="166">
        <f t="shared" ref="AN43:AN81" si="65">(H43/1000000)^2*(rs-rm)*9.81/(18*n*0.001)</f>
        <v>4.214205034595156E-5</v>
      </c>
      <c r="AO43" s="167">
        <f t="shared" ref="AO43:AO81" si="66">AN43*AO$5</f>
        <v>0.24015099655615052</v>
      </c>
      <c r="AP43" s="299">
        <f t="shared" ref="AP43:AP81" si="67">IF(AO43&lt;h,(h-AO43)/h,0)</f>
        <v>0</v>
      </c>
      <c r="AQ43" s="168">
        <f t="shared" si="41"/>
        <v>0</v>
      </c>
      <c r="AR43" s="168">
        <f t="shared" ref="AR43:AR81" si="68">AP43*100</f>
        <v>0</v>
      </c>
      <c r="AS43" s="169">
        <f t="shared" si="42"/>
        <v>0</v>
      </c>
      <c r="AT43" s="168">
        <f t="shared" ref="AT43:AT81" si="69">AT42+AS43</f>
        <v>17.098851031332003</v>
      </c>
      <c r="AU43" s="170">
        <f t="shared" si="43"/>
        <v>0</v>
      </c>
    </row>
    <row r="44" spans="2:47" x14ac:dyDescent="0.2">
      <c r="B44" s="34">
        <f>IF(AND((G44-B$6)*(G43-B$6)&lt;=0,ISNUMBER(SWeRF!C45)),(F43+(B$6-G43)*(F44-F43)/(G44-G43)),0)</f>
        <v>0</v>
      </c>
      <c r="C44" s="34">
        <f>IF(AND((G44-C$6)*(G43-C$6)&lt;=0,ISNUMBER(SWeRF!C45)),(F43+(C$6-G43)*(F44-F43)/(G44-G43)),0)</f>
        <v>0</v>
      </c>
      <c r="D44" s="322">
        <f>IF(AND((G44-D$6)*(G43-D$6)&lt;=0,ISNUMBER(SWeRF!C45)),(F43+(D$6-G43)*(F44-F43)/(G44-G43)),0)</f>
        <v>0</v>
      </c>
      <c r="E44" s="34">
        <f>IF(AND((G44-E$6)*(G43-E$6)&lt;=0,ISNUMBER(SWeRF!C45)),(F43+(E$6-G43)*(F44-F43)/(G44-G43)),0)</f>
        <v>0</v>
      </c>
      <c r="F44" s="100">
        <f>IF(ISNUMBER(SWeRF!C45),SWeRF!C45,F43)</f>
        <v>5.1859464446759027</v>
      </c>
      <c r="G44" s="32">
        <f>IF(ISNUMBER(SWeRF!D45),SWeRF!D45,G43)</f>
        <v>63.268888143674729</v>
      </c>
      <c r="H44" s="76">
        <f t="shared" si="20"/>
        <v>5.0348569778933312</v>
      </c>
      <c r="I44" s="35">
        <f t="shared" si="44"/>
        <v>3.2563992170229525</v>
      </c>
      <c r="J44" s="35">
        <f t="shared" si="45"/>
        <v>0.64677094728229689</v>
      </c>
      <c r="K44" s="36">
        <f t="shared" si="46"/>
        <v>55.059667373494214</v>
      </c>
      <c r="L44" s="144"/>
      <c r="M44" s="25">
        <f t="shared" si="47"/>
        <v>10.878133034625254</v>
      </c>
      <c r="N44" s="33">
        <f t="shared" si="24"/>
        <v>10.561205095371511</v>
      </c>
      <c r="O44" s="33">
        <f t="shared" si="48"/>
        <v>63.268888143674729</v>
      </c>
      <c r="P44" s="52">
        <f t="shared" si="49"/>
        <v>3.2563992170229525</v>
      </c>
      <c r="Q44" s="53">
        <f t="shared" si="50"/>
        <v>55.059667373494086</v>
      </c>
      <c r="R44" s="82">
        <f t="shared" si="51"/>
        <v>3.0863555378005048E-2</v>
      </c>
      <c r="S44" s="6">
        <f t="shared" si="52"/>
        <v>16.96612353831696</v>
      </c>
      <c r="T44" s="9">
        <f t="shared" si="53"/>
        <v>0.52184544333293847</v>
      </c>
      <c r="U44" s="60">
        <f t="shared" si="54"/>
        <v>76.531977395874449</v>
      </c>
      <c r="V44" s="58">
        <f t="shared" si="55"/>
        <v>1.2384126446398525E-2</v>
      </c>
      <c r="W44" s="61">
        <f t="shared" si="56"/>
        <v>0.94778168526342288</v>
      </c>
      <c r="X44" s="60">
        <f t="shared" si="57"/>
        <v>76.03222056678905</v>
      </c>
      <c r="Y44" s="58">
        <f t="shared" si="37"/>
        <v>1.0226837031013236E-2</v>
      </c>
      <c r="Z44" s="61">
        <f t="shared" si="38"/>
        <v>0.77756912884260443</v>
      </c>
      <c r="AB44" s="25">
        <f t="shared" si="39"/>
        <v>8.4421091793860121</v>
      </c>
      <c r="AC44" s="76">
        <f t="shared" si="34"/>
        <v>8.1961533470146275</v>
      </c>
      <c r="AD44" s="33">
        <f t="shared" si="28"/>
        <v>63.268888143674729</v>
      </c>
      <c r="AE44" s="52">
        <f t="shared" si="58"/>
        <v>3.2563992170229525</v>
      </c>
      <c r="AF44" s="53">
        <f t="shared" si="59"/>
        <v>55.059667373494307</v>
      </c>
      <c r="AG44" s="82">
        <f t="shared" si="60"/>
        <v>0.13813499573510288</v>
      </c>
      <c r="AH44" s="6">
        <f t="shared" si="61"/>
        <v>25.671096727068218</v>
      </c>
      <c r="AI44" s="9">
        <f t="shared" si="40"/>
        <v>2.3356064201388111</v>
      </c>
      <c r="AJ44" s="60">
        <f t="shared" si="62"/>
        <v>80.577174664098976</v>
      </c>
      <c r="AK44" s="58">
        <f t="shared" si="63"/>
        <v>5.2644625627890407E-2</v>
      </c>
      <c r="AL44" s="61">
        <f t="shared" si="64"/>
        <v>4.2419551943446265</v>
      </c>
      <c r="AN44" s="166">
        <f t="shared" si="65"/>
        <v>4.7458894663854697E-5</v>
      </c>
      <c r="AO44" s="167">
        <f t="shared" si="66"/>
        <v>0.27044960450228733</v>
      </c>
      <c r="AP44" s="299">
        <f t="shared" si="67"/>
        <v>0</v>
      </c>
      <c r="AQ44" s="168">
        <f t="shared" si="41"/>
        <v>0</v>
      </c>
      <c r="AR44" s="168">
        <f t="shared" si="68"/>
        <v>0</v>
      </c>
      <c r="AS44" s="169">
        <f t="shared" si="42"/>
        <v>0</v>
      </c>
      <c r="AT44" s="168">
        <f t="shared" si="69"/>
        <v>17.098851031332003</v>
      </c>
      <c r="AU44" s="170">
        <f t="shared" si="43"/>
        <v>0</v>
      </c>
    </row>
    <row r="45" spans="2:47" x14ac:dyDescent="0.2">
      <c r="B45" s="34">
        <f>IF(AND((G45-B$6)*(G44-B$6)&lt;=0,ISNUMBER(SWeRF!C46)),(F44+(B$6-G44)*(F45-F44)/(G45-G44)),0)</f>
        <v>0</v>
      </c>
      <c r="C45" s="34">
        <f>IF(AND((G45-C$6)*(G44-C$6)&lt;=0,ISNUMBER(SWeRF!C46)),(F44+(C$6-G44)*(F45-F44)/(G45-G44)),0)</f>
        <v>0</v>
      </c>
      <c r="D45" s="322">
        <f>IF(AND((G45-D$6)*(G44-D$6)&lt;=0,ISNUMBER(SWeRF!C46)),(F44+(D$6-G44)*(F45-F44)/(G45-G44)),0)</f>
        <v>0</v>
      </c>
      <c r="E45" s="34">
        <f>IF(AND((G45-E$6)*(G44-E$6)&lt;=0,ISNUMBER(SWeRF!C46)),(F44+(E$6-G44)*(F45-F44)/(G45-G44)),0)</f>
        <v>0</v>
      </c>
      <c r="F45" s="100">
        <f>IF(ISNUMBER(SWeRF!C46),SWeRF!C46,F44)</f>
        <v>5.4990428553918234</v>
      </c>
      <c r="G45" s="32">
        <f>IF(ISNUMBER(SWeRF!D46),SWeRF!D46,G44)</f>
        <v>66.405540120907816</v>
      </c>
      <c r="H45" s="76">
        <f t="shared" si="20"/>
        <v>5.3402005341597096</v>
      </c>
      <c r="I45" s="35">
        <f t="shared" si="44"/>
        <v>3.1366519772330861</v>
      </c>
      <c r="J45" s="35">
        <f t="shared" si="45"/>
        <v>0.58736595323880358</v>
      </c>
      <c r="K45" s="36">
        <f t="shared" si="46"/>
        <v>53.499018165018832</v>
      </c>
      <c r="L45" s="144"/>
      <c r="M45" s="25">
        <f t="shared" si="47"/>
        <v>11.534889606403599</v>
      </c>
      <c r="N45" s="33">
        <f t="shared" si="24"/>
        <v>11.201699142459347</v>
      </c>
      <c r="O45" s="33">
        <f t="shared" si="48"/>
        <v>66.405540120907816</v>
      </c>
      <c r="P45" s="52">
        <f t="shared" si="49"/>
        <v>3.1366519772330861</v>
      </c>
      <c r="Q45" s="53">
        <f t="shared" si="50"/>
        <v>53.499018165018974</v>
      </c>
      <c r="R45" s="82">
        <f t="shared" si="51"/>
        <v>1.9946928533993009E-2</v>
      </c>
      <c r="S45" s="6">
        <f t="shared" si="52"/>
        <v>16.986070466850954</v>
      </c>
      <c r="T45" s="9">
        <f t="shared" si="53"/>
        <v>0.3402166066628069</v>
      </c>
      <c r="U45" s="60">
        <f t="shared" si="54"/>
        <v>75.53170611526771</v>
      </c>
      <c r="V45" s="58">
        <f t="shared" si="55"/>
        <v>8.4193856368229847E-3</v>
      </c>
      <c r="W45" s="61">
        <f t="shared" si="56"/>
        <v>0.63593056159161976</v>
      </c>
      <c r="X45" s="60">
        <f t="shared" si="57"/>
        <v>75.026358990561093</v>
      </c>
      <c r="Y45" s="58">
        <f t="shared" si="37"/>
        <v>6.898631910608688E-3</v>
      </c>
      <c r="Z45" s="61">
        <f t="shared" si="38"/>
        <v>0.51757923426906782</v>
      </c>
      <c r="AB45" s="25">
        <f t="shared" si="39"/>
        <v>8.9517932093187351</v>
      </c>
      <c r="AC45" s="76">
        <f t="shared" si="34"/>
        <v>8.6932166442781735</v>
      </c>
      <c r="AD45" s="33">
        <f t="shared" si="28"/>
        <v>66.405540120907816</v>
      </c>
      <c r="AE45" s="52">
        <f t="shared" si="58"/>
        <v>3.1366519772330861</v>
      </c>
      <c r="AF45" s="53">
        <f t="shared" si="59"/>
        <v>53.499018165018754</v>
      </c>
      <c r="AG45" s="82">
        <f t="shared" si="60"/>
        <v>9.6936713648438283E-2</v>
      </c>
      <c r="AH45" s="6">
        <f t="shared" si="61"/>
        <v>25.768033440716657</v>
      </c>
      <c r="AI45" s="9">
        <f t="shared" si="40"/>
        <v>1.6533613043388182</v>
      </c>
      <c r="AJ45" s="60">
        <f t="shared" si="62"/>
        <v>79.67871157382362</v>
      </c>
      <c r="AK45" s="58">
        <f t="shared" si="63"/>
        <v>3.878641630216384E-2</v>
      </c>
      <c r="AL45" s="61">
        <f t="shared" si="64"/>
        <v>3.0904516775223629</v>
      </c>
      <c r="AN45" s="166">
        <f t="shared" si="65"/>
        <v>5.3389822156518118E-5</v>
      </c>
      <c r="AO45" s="167">
        <f t="shared" si="66"/>
        <v>0.30424763132283617</v>
      </c>
      <c r="AP45" s="299">
        <f t="shared" si="67"/>
        <v>0</v>
      </c>
      <c r="AQ45" s="168">
        <f t="shared" si="41"/>
        <v>0</v>
      </c>
      <c r="AR45" s="168">
        <f t="shared" si="68"/>
        <v>0</v>
      </c>
      <c r="AS45" s="169">
        <f t="shared" si="42"/>
        <v>0</v>
      </c>
      <c r="AT45" s="168">
        <f t="shared" si="69"/>
        <v>17.098851031332003</v>
      </c>
      <c r="AU45" s="170">
        <f t="shared" si="43"/>
        <v>0</v>
      </c>
    </row>
    <row r="46" spans="2:47" x14ac:dyDescent="0.2">
      <c r="B46" s="34">
        <f>IF(AND((G46-B$6)*(G45-B$6)&lt;=0,ISNUMBER(SWeRF!C47)),(F45+(B$6-G45)*(F46-F45)/(G46-G45)),0)</f>
        <v>0</v>
      </c>
      <c r="C46" s="34">
        <f>IF(AND((G46-C$6)*(G45-C$6)&lt;=0,ISNUMBER(SWeRF!C47)),(F45+(C$6-G45)*(F46-F45)/(G46-G45)),0)</f>
        <v>0</v>
      </c>
      <c r="D46" s="322">
        <f>IF(AND((G46-D$6)*(G45-D$6)&lt;=0,ISNUMBER(SWeRF!C47)),(F45+(D$6-G45)*(F46-F45)/(G46-G45)),0)</f>
        <v>0</v>
      </c>
      <c r="E46" s="34">
        <f>IF(AND((G46-E$6)*(G45-E$6)&lt;=0,ISNUMBER(SWeRF!C47)),(F45+(E$6-G45)*(F46-F45)/(G46-G45)),0)</f>
        <v>0</v>
      </c>
      <c r="F46" s="100">
        <f>IF(ISNUMBER(SWeRF!C47),SWeRF!C47,F45)</f>
        <v>5.8282467628289734</v>
      </c>
      <c r="G46" s="32">
        <f>IF(ISNUMBER(SWeRF!D47),SWeRF!D47,G45)</f>
        <v>69.407625375397686</v>
      </c>
      <c r="H46" s="76">
        <f t="shared" si="20"/>
        <v>5.661252398594784</v>
      </c>
      <c r="I46" s="35">
        <f t="shared" si="44"/>
        <v>3.0020852544898702</v>
      </c>
      <c r="J46" s="35">
        <f t="shared" si="45"/>
        <v>0.53028641776067731</v>
      </c>
      <c r="K46" s="36">
        <f t="shared" si="46"/>
        <v>51.626247331257815</v>
      </c>
      <c r="L46" s="144"/>
      <c r="M46" s="25">
        <f t="shared" si="47"/>
        <v>12.225433548348141</v>
      </c>
      <c r="N46" s="33">
        <f t="shared" si="24"/>
        <v>11.875143214741406</v>
      </c>
      <c r="O46" s="33">
        <f t="shared" si="48"/>
        <v>69.407625375397686</v>
      </c>
      <c r="P46" s="52">
        <f t="shared" si="49"/>
        <v>3.0020852544898702</v>
      </c>
      <c r="Q46" s="53">
        <f t="shared" si="50"/>
        <v>51.626247331257751</v>
      </c>
      <c r="R46" s="82">
        <f t="shared" si="51"/>
        <v>1.2607068810619369E-2</v>
      </c>
      <c r="S46" s="6">
        <f t="shared" si="52"/>
        <v>16.998677535661574</v>
      </c>
      <c r="T46" s="9">
        <f t="shared" si="53"/>
        <v>0.21680118896217643</v>
      </c>
      <c r="U46" s="60">
        <f t="shared" si="54"/>
        <v>74.520620400031447</v>
      </c>
      <c r="V46" s="58">
        <f t="shared" si="55"/>
        <v>5.6352688457215194E-3</v>
      </c>
      <c r="W46" s="61">
        <f t="shared" si="56"/>
        <v>0.41994373050413675</v>
      </c>
      <c r="X46" s="60">
        <f t="shared" si="57"/>
        <v>74.010638249364263</v>
      </c>
      <c r="Y46" s="58">
        <f t="shared" si="37"/>
        <v>4.5817267910812642E-3</v>
      </c>
      <c r="Z46" s="61">
        <f t="shared" si="38"/>
        <v>0.33909652409213598</v>
      </c>
      <c r="AB46" s="25">
        <f t="shared" si="39"/>
        <v>9.4876983441891731</v>
      </c>
      <c r="AC46" s="76">
        <f t="shared" si="34"/>
        <v>9.2158512145963627</v>
      </c>
      <c r="AD46" s="33">
        <f t="shared" si="28"/>
        <v>69.407625375397686</v>
      </c>
      <c r="AE46" s="52">
        <f t="shared" si="58"/>
        <v>3.0020852544898702</v>
      </c>
      <c r="AF46" s="53">
        <f t="shared" si="59"/>
        <v>51.626247331257794</v>
      </c>
      <c r="AG46" s="82">
        <f t="shared" si="60"/>
        <v>6.6526459056889184E-2</v>
      </c>
      <c r="AH46" s="6">
        <f t="shared" si="61"/>
        <v>25.834559899773545</v>
      </c>
      <c r="AI46" s="9">
        <f t="shared" si="40"/>
        <v>1.1440419369193988</v>
      </c>
      <c r="AJ46" s="60">
        <f t="shared" si="62"/>
        <v>78.762484962706608</v>
      </c>
      <c r="AK46" s="58">
        <f t="shared" si="63"/>
        <v>2.8135327656454656E-2</v>
      </c>
      <c r="AL46" s="61">
        <f t="shared" si="64"/>
        <v>2.2160083214623332</v>
      </c>
      <c r="AN46" s="166">
        <f t="shared" si="65"/>
        <v>6.0002366293466051E-5</v>
      </c>
      <c r="AO46" s="167">
        <f t="shared" si="66"/>
        <v>0.34192992374153269</v>
      </c>
      <c r="AP46" s="299">
        <f t="shared" si="67"/>
        <v>0</v>
      </c>
      <c r="AQ46" s="168">
        <f t="shared" si="41"/>
        <v>0</v>
      </c>
      <c r="AR46" s="168">
        <f t="shared" si="68"/>
        <v>0</v>
      </c>
      <c r="AS46" s="169">
        <f t="shared" si="42"/>
        <v>0</v>
      </c>
      <c r="AT46" s="168">
        <f t="shared" si="69"/>
        <v>17.098851031332003</v>
      </c>
      <c r="AU46" s="170">
        <f t="shared" si="43"/>
        <v>0</v>
      </c>
    </row>
    <row r="47" spans="2:47" x14ac:dyDescent="0.2">
      <c r="B47" s="34">
        <f>IF(AND((G47-B$6)*(G46-B$6)&lt;=0,ISNUMBER(SWeRF!C48)),(F46+(B$6-G46)*(F47-F46)/(G47-G46)),0)</f>
        <v>0</v>
      </c>
      <c r="C47" s="34">
        <f>IF(AND((G47-C$6)*(G46-C$6)&lt;=0,ISNUMBER(SWeRF!C48)),(F46+(C$6-G46)*(F47-F46)/(G47-G46)),0)</f>
        <v>0</v>
      </c>
      <c r="D47" s="322">
        <f>IF(AND((G47-D$6)*(G46-D$6)&lt;=0,ISNUMBER(SWeRF!C48)),(F46+(D$6-G46)*(F47-F46)/(G47-G46)),0)</f>
        <v>0</v>
      </c>
      <c r="E47" s="34">
        <f>IF(AND((G47-E$6)*(G46-E$6)&lt;=0,ISNUMBER(SWeRF!C48)),(F46+(E$6-G46)*(F47-F46)/(G47-G46)),0)</f>
        <v>0</v>
      </c>
      <c r="F47" s="100">
        <f>IF(ISNUMBER(SWeRF!C48),SWeRF!C48,F46)</f>
        <v>6.1743868301139306</v>
      </c>
      <c r="G47" s="32">
        <f>IF(ISNUMBER(SWeRF!D48),SWeRF!D48,G46)</f>
        <v>72.262988112125456</v>
      </c>
      <c r="H47" s="76">
        <f t="shared" si="20"/>
        <v>5.9988207220307359</v>
      </c>
      <c r="I47" s="35">
        <f t="shared" si="44"/>
        <v>2.8553627367277699</v>
      </c>
      <c r="J47" s="35">
        <f t="shared" si="45"/>
        <v>0.4759873430191735</v>
      </c>
      <c r="K47" s="36">
        <f t="shared" si="46"/>
        <v>49.485196233858048</v>
      </c>
      <c r="L47" s="144"/>
      <c r="M47" s="25">
        <f t="shared" si="47"/>
        <v>12.95150307889749</v>
      </c>
      <c r="N47" s="33">
        <f t="shared" si="24"/>
        <v>12.583232503704586</v>
      </c>
      <c r="O47" s="33">
        <f t="shared" si="48"/>
        <v>72.262988112125456</v>
      </c>
      <c r="P47" s="52">
        <f t="shared" si="49"/>
        <v>2.8553627367277699</v>
      </c>
      <c r="Q47" s="53">
        <f t="shared" si="50"/>
        <v>49.485196233858076</v>
      </c>
      <c r="R47" s="82">
        <f t="shared" si="51"/>
        <v>7.7941747991594609E-3</v>
      </c>
      <c r="S47" s="6">
        <f t="shared" si="52"/>
        <v>17.006471710460733</v>
      </c>
      <c r="T47" s="9">
        <f t="shared" si="53"/>
        <v>0.13507785349170834</v>
      </c>
      <c r="U47" s="60">
        <f t="shared" si="54"/>
        <v>73.500672909944328</v>
      </c>
      <c r="V47" s="58">
        <f t="shared" si="55"/>
        <v>3.7137916783975822E-3</v>
      </c>
      <c r="W47" s="61">
        <f t="shared" si="56"/>
        <v>0.27296618740957385</v>
      </c>
      <c r="X47" s="60">
        <f t="shared" si="57"/>
        <v>72.987091533313247</v>
      </c>
      <c r="Y47" s="58">
        <f t="shared" si="37"/>
        <v>2.9963152008718463E-3</v>
      </c>
      <c r="Z47" s="61">
        <f t="shared" si="38"/>
        <v>0.21869233182869133</v>
      </c>
      <c r="AB47" s="25">
        <f t="shared" si="39"/>
        <v>10.051173549834543</v>
      </c>
      <c r="AC47" s="76">
        <f t="shared" si="34"/>
        <v>9.7653726322103651</v>
      </c>
      <c r="AD47" s="33">
        <f t="shared" si="28"/>
        <v>72.262988112125456</v>
      </c>
      <c r="AE47" s="52">
        <f t="shared" si="58"/>
        <v>2.8553627367277699</v>
      </c>
      <c r="AF47" s="53">
        <f t="shared" si="59"/>
        <v>49.485196233858083</v>
      </c>
      <c r="AG47" s="82">
        <f t="shared" si="60"/>
        <v>4.4659028231442389E-2</v>
      </c>
      <c r="AH47" s="6">
        <f t="shared" si="61"/>
        <v>25.879218928004988</v>
      </c>
      <c r="AI47" s="9">
        <f t="shared" si="40"/>
        <v>0.77396848646240168</v>
      </c>
      <c r="AJ47" s="60">
        <f t="shared" si="62"/>
        <v>77.829612385282843</v>
      </c>
      <c r="AK47" s="58">
        <f t="shared" si="63"/>
        <v>2.0095698838585863E-2</v>
      </c>
      <c r="AL47" s="61">
        <f t="shared" si="64"/>
        <v>1.5640404512185162</v>
      </c>
      <c r="AN47" s="166">
        <f t="shared" si="65"/>
        <v>6.7371328058444643E-5</v>
      </c>
      <c r="AO47" s="167">
        <f t="shared" si="66"/>
        <v>0.38392274319185121</v>
      </c>
      <c r="AP47" s="299">
        <f t="shared" si="67"/>
        <v>0</v>
      </c>
      <c r="AQ47" s="168">
        <f t="shared" si="41"/>
        <v>0</v>
      </c>
      <c r="AR47" s="168">
        <f t="shared" si="68"/>
        <v>0</v>
      </c>
      <c r="AS47" s="169">
        <f t="shared" si="42"/>
        <v>0</v>
      </c>
      <c r="AT47" s="168">
        <f t="shared" si="69"/>
        <v>17.098851031332003</v>
      </c>
      <c r="AU47" s="170">
        <f t="shared" si="43"/>
        <v>0</v>
      </c>
    </row>
    <row r="48" spans="2:47" x14ac:dyDescent="0.2">
      <c r="B48" s="34">
        <f>IF(AND((G48-B$6)*(G47-B$6)&lt;=0,ISNUMBER(SWeRF!C49)),(F47+(B$6-G47)*(F48-F47)/(G48-G47)),0)</f>
        <v>0</v>
      </c>
      <c r="C48" s="34">
        <f>IF(AND((G48-C$6)*(G47-C$6)&lt;=0,ISNUMBER(SWeRF!C49)),(F47+(C$6-G47)*(F48-F47)/(G48-G47)),0)</f>
        <v>0</v>
      </c>
      <c r="D48" s="322">
        <f>IF(AND((G48-D$6)*(G47-D$6)&lt;=0,ISNUMBER(SWeRF!C49)),(F47+(D$6-G47)*(F48-F47)/(G48-G47)),0)</f>
        <v>0</v>
      </c>
      <c r="E48" s="34">
        <f>IF(AND((G48-E$6)*(G47-E$6)&lt;=0,ISNUMBER(SWeRF!C49)),(F47+(E$6-G47)*(F48-F47)/(G48-G47)),0)</f>
        <v>0</v>
      </c>
      <c r="F48" s="100">
        <f>IF(ISNUMBER(SWeRF!C49),SWeRF!C49,F47)</f>
        <v>6.5383343516144414</v>
      </c>
      <c r="G48" s="32">
        <f>IF(ISNUMBER(SWeRF!D49),SWeRF!D49,G47)</f>
        <v>74.962153335000195</v>
      </c>
      <c r="H48" s="76">
        <f t="shared" si="20"/>
        <v>6.3537552291137018</v>
      </c>
      <c r="I48" s="35">
        <f t="shared" si="44"/>
        <v>2.6991652228747398</v>
      </c>
      <c r="J48" s="35">
        <f t="shared" si="45"/>
        <v>0.42481416509512782</v>
      </c>
      <c r="K48" s="36">
        <f t="shared" si="46"/>
        <v>47.121725347587393</v>
      </c>
      <c r="L48" s="144"/>
      <c r="M48" s="25">
        <f t="shared" si="47"/>
        <v>13.714925840536155</v>
      </c>
      <c r="N48" s="33">
        <f t="shared" si="24"/>
        <v>13.327749406803639</v>
      </c>
      <c r="O48" s="33">
        <f t="shared" si="48"/>
        <v>74.962153335000195</v>
      </c>
      <c r="P48" s="52">
        <f t="shared" si="49"/>
        <v>2.6991652228747398</v>
      </c>
      <c r="Q48" s="53">
        <f t="shared" si="50"/>
        <v>47.121725347587343</v>
      </c>
      <c r="R48" s="82">
        <f t="shared" si="51"/>
        <v>4.7146160324028821E-3</v>
      </c>
      <c r="S48" s="6">
        <f t="shared" si="52"/>
        <v>17.011186326493135</v>
      </c>
      <c r="T48" s="9">
        <f t="shared" si="53"/>
        <v>8.2307240740753504E-2</v>
      </c>
      <c r="U48" s="60">
        <f t="shared" si="54"/>
        <v>72.473976526688261</v>
      </c>
      <c r="V48" s="58">
        <f t="shared" si="55"/>
        <v>2.4100983648657204E-3</v>
      </c>
      <c r="W48" s="61">
        <f t="shared" si="56"/>
        <v>0.17466941232228797</v>
      </c>
      <c r="X48" s="60">
        <f t="shared" si="57"/>
        <v>71.957910349696903</v>
      </c>
      <c r="Y48" s="58">
        <f t="shared" si="37"/>
        <v>1.9296639436113816E-3</v>
      </c>
      <c r="Z48" s="61">
        <f t="shared" si="38"/>
        <v>0.13885458505943038</v>
      </c>
      <c r="AB48" s="25">
        <f t="shared" si="39"/>
        <v>10.643637190724739</v>
      </c>
      <c r="AC48" s="76">
        <f t="shared" si="34"/>
        <v>10.343164148627235</v>
      </c>
      <c r="AD48" s="33">
        <f t="shared" si="28"/>
        <v>74.962153335000195</v>
      </c>
      <c r="AE48" s="52">
        <f t="shared" si="58"/>
        <v>2.6991652228747398</v>
      </c>
      <c r="AF48" s="53">
        <f t="shared" si="59"/>
        <v>47.121725347587329</v>
      </c>
      <c r="AG48" s="82">
        <f t="shared" si="60"/>
        <v>2.9330217765051913E-2</v>
      </c>
      <c r="AH48" s="6">
        <f t="shared" si="61"/>
        <v>25.908549145770039</v>
      </c>
      <c r="AI48" s="9">
        <f t="shared" si="40"/>
        <v>0.51204366972308302</v>
      </c>
      <c r="AJ48" s="60">
        <f t="shared" si="62"/>
        <v>76.881361260664946</v>
      </c>
      <c r="AK48" s="58">
        <f t="shared" si="63"/>
        <v>1.413398914554187E-2</v>
      </c>
      <c r="AL48" s="61">
        <f t="shared" si="64"/>
        <v>1.0866403255527215</v>
      </c>
      <c r="AN48" s="166">
        <f t="shared" si="65"/>
        <v>7.5579550160398808E-5</v>
      </c>
      <c r="AO48" s="167">
        <f t="shared" si="66"/>
        <v>0.43069817774134467</v>
      </c>
      <c r="AP48" s="299">
        <f t="shared" si="67"/>
        <v>0</v>
      </c>
      <c r="AQ48" s="168">
        <f t="shared" si="41"/>
        <v>0</v>
      </c>
      <c r="AR48" s="168">
        <f t="shared" si="68"/>
        <v>0</v>
      </c>
      <c r="AS48" s="169">
        <f t="shared" si="42"/>
        <v>0</v>
      </c>
      <c r="AT48" s="168">
        <f t="shared" si="69"/>
        <v>17.098851031332003</v>
      </c>
      <c r="AU48" s="170">
        <f t="shared" si="43"/>
        <v>0</v>
      </c>
    </row>
    <row r="49" spans="2:47" x14ac:dyDescent="0.2">
      <c r="B49" s="34">
        <f>IF(AND((G49-B$6)*(G48-B$6)&lt;=0,ISNUMBER(SWeRF!C50)),(F48+(B$6-G48)*(F49-F48)/(G49-G48)),0)</f>
        <v>0</v>
      </c>
      <c r="C49" s="34">
        <f>IF(AND((G49-C$6)*(G48-C$6)&lt;=0,ISNUMBER(SWeRF!C50)),(F48+(C$6-G48)*(F49-F48)/(G49-G48)),0)</f>
        <v>0</v>
      </c>
      <c r="D49" s="322">
        <f>IF(AND((G49-D$6)*(G48-D$6)&lt;=0,ISNUMBER(SWeRF!C50)),(F48+(D$6-G48)*(F49-F48)/(G49-G48)),0)</f>
        <v>0</v>
      </c>
      <c r="E49" s="34">
        <f>IF(AND((G49-E$6)*(G48-E$6)&lt;=0,ISNUMBER(SWeRF!C50)),(F48+(E$6-G48)*(F49-F48)/(G49-G48)),0)</f>
        <v>0</v>
      </c>
      <c r="F49" s="100">
        <f>IF(ISNUMBER(SWeRF!C50),SWeRF!C50,F48)</f>
        <v>6.9210054461379213</v>
      </c>
      <c r="G49" s="32">
        <f>IF(ISNUMBER(SWeRF!D50),SWeRF!D50,G48)</f>
        <v>77.498281581301882</v>
      </c>
      <c r="H49" s="76">
        <f t="shared" si="20"/>
        <v>6.7269493573383023</v>
      </c>
      <c r="I49" s="35">
        <f t="shared" si="44"/>
        <v>2.5361282463016863</v>
      </c>
      <c r="J49" s="35">
        <f t="shared" si="45"/>
        <v>0.37701015892665696</v>
      </c>
      <c r="K49" s="36">
        <f t="shared" si="46"/>
        <v>44.582427365806311</v>
      </c>
      <c r="L49" s="144"/>
      <c r="M49" s="25">
        <f t="shared" si="47"/>
        <v>14.51762350028652</v>
      </c>
      <c r="N49" s="33">
        <f t="shared" si="24"/>
        <v>14.110568014337852</v>
      </c>
      <c r="O49" s="33">
        <f t="shared" si="48"/>
        <v>77.498281581301882</v>
      </c>
      <c r="P49" s="52">
        <f t="shared" si="49"/>
        <v>2.5361282463016863</v>
      </c>
      <c r="Q49" s="53">
        <f t="shared" si="50"/>
        <v>44.582427365806289</v>
      </c>
      <c r="R49" s="82">
        <f t="shared" si="51"/>
        <v>2.7908596057531787E-3</v>
      </c>
      <c r="S49" s="6">
        <f t="shared" si="52"/>
        <v>17.013977186098888</v>
      </c>
      <c r="T49" s="9">
        <f t="shared" si="53"/>
        <v>4.9060332750559606E-2</v>
      </c>
      <c r="U49" s="60">
        <f t="shared" si="54"/>
        <v>71.442799997371026</v>
      </c>
      <c r="V49" s="58">
        <f t="shared" si="55"/>
        <v>1.5403106266322908E-3</v>
      </c>
      <c r="W49" s="61">
        <f t="shared" si="56"/>
        <v>0.11004410403231599</v>
      </c>
      <c r="X49" s="60">
        <f t="shared" si="57"/>
        <v>70.925438990920867</v>
      </c>
      <c r="Y49" s="58">
        <f t="shared" si="37"/>
        <v>1.2239168190726346E-3</v>
      </c>
      <c r="Z49" s="61">
        <f t="shared" si="38"/>
        <v>8.6806837681098079E-2</v>
      </c>
      <c r="AB49" s="25">
        <f t="shared" si="39"/>
        <v>11.266580600230823</v>
      </c>
      <c r="AC49" s="76">
        <f t="shared" si="34"/>
        <v>10.950680174715846</v>
      </c>
      <c r="AD49" s="33">
        <f t="shared" si="28"/>
        <v>77.498281581301882</v>
      </c>
      <c r="AE49" s="52">
        <f t="shared" si="58"/>
        <v>2.5361282463016863</v>
      </c>
      <c r="AF49" s="53">
        <f t="shared" si="59"/>
        <v>44.582427365806375</v>
      </c>
      <c r="AG49" s="82">
        <f t="shared" si="60"/>
        <v>1.8849084274271677E-2</v>
      </c>
      <c r="AH49" s="6">
        <f t="shared" si="61"/>
        <v>25.927398230044311</v>
      </c>
      <c r="AI49" s="9">
        <f t="shared" si="40"/>
        <v>0.33134678098203563</v>
      </c>
      <c r="AJ49" s="60">
        <f t="shared" si="62"/>
        <v>75.919153037950238</v>
      </c>
      <c r="AK49" s="58">
        <f t="shared" si="63"/>
        <v>9.7896618463373386E-3</v>
      </c>
      <c r="AL49" s="61">
        <f t="shared" si="64"/>
        <v>0.74322283590186689</v>
      </c>
      <c r="AN49" s="166">
        <f t="shared" si="65"/>
        <v>8.4718773324269107E-5</v>
      </c>
      <c r="AO49" s="167">
        <f t="shared" si="66"/>
        <v>0.48277902175664666</v>
      </c>
      <c r="AP49" s="299">
        <f t="shared" si="67"/>
        <v>0</v>
      </c>
      <c r="AQ49" s="168">
        <f t="shared" si="41"/>
        <v>0</v>
      </c>
      <c r="AR49" s="168">
        <f t="shared" si="68"/>
        <v>0</v>
      </c>
      <c r="AS49" s="169">
        <f t="shared" si="42"/>
        <v>0</v>
      </c>
      <c r="AT49" s="168">
        <f t="shared" si="69"/>
        <v>17.098851031332003</v>
      </c>
      <c r="AU49" s="170">
        <f t="shared" si="43"/>
        <v>0</v>
      </c>
    </row>
    <row r="50" spans="2:47" x14ac:dyDescent="0.2">
      <c r="B50" s="34">
        <f>IF(AND((G50-B$6)*(G49-B$6)&lt;=0,ISNUMBER(SWeRF!C51)),(F49+(B$6-G49)*(F50-F49)/(G50-G49)),0)</f>
        <v>0</v>
      </c>
      <c r="C50" s="34">
        <f>IF(AND((G50-C$6)*(G49-C$6)&lt;=0,ISNUMBER(SWeRF!C51)),(F49+(C$6-G49)*(F50-F49)/(G50-G49)),0)</f>
        <v>0</v>
      </c>
      <c r="D50" s="322">
        <f>IF(AND((G50-D$6)*(G49-D$6)&lt;=0,ISNUMBER(SWeRF!C51)),(F49+(D$6-G49)*(F50-F49)/(G50-G49)),0)</f>
        <v>0</v>
      </c>
      <c r="E50" s="34">
        <f>IF(AND((G50-E$6)*(G49-E$6)&lt;=0,ISNUMBER(SWeRF!C51)),(F49+(E$6-G49)*(F50-F49)/(G50-G49)),0)</f>
        <v>0</v>
      </c>
      <c r="F50" s="100">
        <f>IF(ISNUMBER(SWeRF!C51),SWeRF!C51,F49)</f>
        <v>7.3233633629608068</v>
      </c>
      <c r="G50" s="32">
        <f>IF(ISNUMBER(SWeRF!D51),SWeRF!D51,G49)</f>
        <v>79.867068256488594</v>
      </c>
      <c r="H50" s="76">
        <f t="shared" si="20"/>
        <v>7.1193425060955358</v>
      </c>
      <c r="I50" s="35">
        <f t="shared" si="44"/>
        <v>2.3687866751867119</v>
      </c>
      <c r="J50" s="35">
        <f t="shared" si="45"/>
        <v>0.3327254831690668</v>
      </c>
      <c r="K50" s="36">
        <f t="shared" si="46"/>
        <v>41.913438158973662</v>
      </c>
      <c r="L50" s="144"/>
      <c r="M50" s="25">
        <f t="shared" si="47"/>
        <v>15.361616586876824</v>
      </c>
      <c r="N50" s="33">
        <f t="shared" si="24"/>
        <v>14.933658827093719</v>
      </c>
      <c r="O50" s="33">
        <f t="shared" si="48"/>
        <v>79.867068256488594</v>
      </c>
      <c r="P50" s="52">
        <f t="shared" si="49"/>
        <v>2.3687866751867119</v>
      </c>
      <c r="Q50" s="53">
        <f t="shared" si="50"/>
        <v>41.913438158973676</v>
      </c>
      <c r="R50" s="82">
        <f t="shared" si="51"/>
        <v>1.6170899790616828E-3</v>
      </c>
      <c r="S50" s="6">
        <f t="shared" si="52"/>
        <v>17.015594276077948</v>
      </c>
      <c r="T50" s="9">
        <f t="shared" si="53"/>
        <v>2.861287660255666E-2</v>
      </c>
      <c r="U50" s="60">
        <f t="shared" si="54"/>
        <v>70.409561168915175</v>
      </c>
      <c r="V50" s="58">
        <f t="shared" si="55"/>
        <v>9.6956425705507776E-4</v>
      </c>
      <c r="W50" s="61">
        <f t="shared" si="56"/>
        <v>6.8266593864313288E-2</v>
      </c>
      <c r="X50" s="60">
        <f t="shared" si="57"/>
        <v>69.892166484066365</v>
      </c>
      <c r="Y50" s="58">
        <f t="shared" si="37"/>
        <v>7.6460096874497729E-4</v>
      </c>
      <c r="Z50" s="61">
        <f t="shared" si="38"/>
        <v>5.3439618201402375E-2</v>
      </c>
      <c r="AB50" s="25">
        <f t="shared" si="39"/>
        <v>11.921571834568839</v>
      </c>
      <c r="AC50" s="76">
        <f t="shared" si="34"/>
        <v>11.58944994189161</v>
      </c>
      <c r="AD50" s="33">
        <f t="shared" si="28"/>
        <v>79.867068256488594</v>
      </c>
      <c r="AE50" s="52">
        <f t="shared" si="58"/>
        <v>2.3687866751867119</v>
      </c>
      <c r="AF50" s="53">
        <f t="shared" si="59"/>
        <v>41.913438158973634</v>
      </c>
      <c r="AG50" s="82">
        <f t="shared" si="60"/>
        <v>1.1855164319231915E-2</v>
      </c>
      <c r="AH50" s="6">
        <f t="shared" si="61"/>
        <v>25.939253394363543</v>
      </c>
      <c r="AI50" s="9">
        <f t="shared" si="40"/>
        <v>0.20976591170643602</v>
      </c>
      <c r="AJ50" s="60">
        <f t="shared" si="62"/>
        <v>74.944566150395985</v>
      </c>
      <c r="AK50" s="58">
        <f t="shared" si="63"/>
        <v>6.6779240697351083E-3</v>
      </c>
      <c r="AL50" s="61">
        <f t="shared" si="64"/>
        <v>0.50047412219158438</v>
      </c>
      <c r="AN50" s="166">
        <f t="shared" si="65"/>
        <v>9.4890583343254433E-5</v>
      </c>
      <c r="AO50" s="167">
        <f t="shared" si="66"/>
        <v>0.54074417278242792</v>
      </c>
      <c r="AP50" s="299">
        <f t="shared" si="67"/>
        <v>0</v>
      </c>
      <c r="AQ50" s="168">
        <f t="shared" si="41"/>
        <v>0</v>
      </c>
      <c r="AR50" s="168">
        <f t="shared" si="68"/>
        <v>0</v>
      </c>
      <c r="AS50" s="169">
        <f t="shared" si="42"/>
        <v>0</v>
      </c>
      <c r="AT50" s="168">
        <f t="shared" si="69"/>
        <v>17.098851031332003</v>
      </c>
      <c r="AU50" s="170">
        <f t="shared" si="43"/>
        <v>0</v>
      </c>
    </row>
    <row r="51" spans="2:47" x14ac:dyDescent="0.2">
      <c r="B51" s="34">
        <f>IF(AND((G51-B$6)*(G50-B$6)&lt;=0,ISNUMBER(SWeRF!C52)),(F50+(B$6-G50)*(F51-F50)/(G51-G50)),0)</f>
        <v>0</v>
      </c>
      <c r="C51" s="34">
        <f>IF(AND((G51-C$6)*(G50-C$6)&lt;=0,ISNUMBER(SWeRF!C52)),(F50+(C$6-G50)*(F51-F50)/(G51-G50)),0)</f>
        <v>0</v>
      </c>
      <c r="D51" s="322">
        <f>IF(AND((G51-D$6)*(G50-D$6)&lt;=0,ISNUMBER(SWeRF!C52)),(F50+(D$6-G50)*(F51-F50)/(G51-G50)),0)</f>
        <v>0</v>
      </c>
      <c r="E51" s="34">
        <f>IF(AND((G51-E$6)*(G50-E$6)&lt;=0,ISNUMBER(SWeRF!C52)),(F50+(E$6-G50)*(F51-F50)/(G51-G50)),0)</f>
        <v>0</v>
      </c>
      <c r="F51" s="100">
        <f>IF(ISNUMBER(SWeRF!C52),SWeRF!C52,F50)</f>
        <v>7.746420906493455</v>
      </c>
      <c r="G51" s="32">
        <f>IF(ISNUMBER(SWeRF!D52),SWeRF!D52,G50)</f>
        <v>82.066595558651684</v>
      </c>
      <c r="H51" s="76">
        <f t="shared" si="20"/>
        <v>7.5319224013984512</v>
      </c>
      <c r="I51" s="35">
        <f t="shared" si="44"/>
        <v>2.1995273021630908</v>
      </c>
      <c r="J51" s="35">
        <f t="shared" si="45"/>
        <v>0.29202734507125361</v>
      </c>
      <c r="K51" s="36">
        <f t="shared" si="46"/>
        <v>39.159374919339307</v>
      </c>
      <c r="L51" s="144"/>
      <c r="M51" s="25">
        <f t="shared" si="47"/>
        <v>16.249029576761163</v>
      </c>
      <c r="N51" s="33">
        <f t="shared" si="24"/>
        <v>15.799093716635344</v>
      </c>
      <c r="O51" s="33">
        <f t="shared" si="48"/>
        <v>82.066595558651684</v>
      </c>
      <c r="P51" s="52">
        <f t="shared" si="49"/>
        <v>2.1995273021630908</v>
      </c>
      <c r="Q51" s="53">
        <f t="shared" si="50"/>
        <v>39.159374919339392</v>
      </c>
      <c r="R51" s="82">
        <f t="shared" si="51"/>
        <v>9.1731476158178626E-4</v>
      </c>
      <c r="S51" s="6">
        <f t="shared" si="52"/>
        <v>17.016511590839531</v>
      </c>
      <c r="T51" s="9">
        <f t="shared" si="53"/>
        <v>1.6331451140660591E-2</v>
      </c>
      <c r="U51" s="60">
        <f t="shared" si="54"/>
        <v>69.376817599568781</v>
      </c>
      <c r="V51" s="58">
        <f t="shared" si="55"/>
        <v>6.0113864883037937E-4</v>
      </c>
      <c r="W51" s="61">
        <f t="shared" si="56"/>
        <v>4.1705086391956463E-2</v>
      </c>
      <c r="X51" s="60">
        <f t="shared" si="57"/>
        <v>68.860715818803598</v>
      </c>
      <c r="Y51" s="58">
        <f t="shared" si="37"/>
        <v>4.7050460219388857E-4</v>
      </c>
      <c r="Z51" s="61">
        <f t="shared" si="38"/>
        <v>3.2399283703112597E-2</v>
      </c>
      <c r="AB51" s="25">
        <f t="shared" si="39"/>
        <v>12.610259619868302</v>
      </c>
      <c r="AC51" s="76">
        <f t="shared" si="34"/>
        <v>12.261081351610986</v>
      </c>
      <c r="AD51" s="33">
        <f t="shared" si="28"/>
        <v>82.066595558651684</v>
      </c>
      <c r="AE51" s="52">
        <f t="shared" si="58"/>
        <v>2.1995273021630908</v>
      </c>
      <c r="AF51" s="53">
        <f t="shared" si="59"/>
        <v>39.159374919339285</v>
      </c>
      <c r="AG51" s="82">
        <f t="shared" si="60"/>
        <v>7.2985493429560191E-3</v>
      </c>
      <c r="AH51" s="6">
        <f t="shared" si="61"/>
        <v>25.946551943706499</v>
      </c>
      <c r="AI51" s="9">
        <f t="shared" si="40"/>
        <v>0.12994002384377781</v>
      </c>
      <c r="AJ51" s="60">
        <f t="shared" si="62"/>
        <v>73.959337541136534</v>
      </c>
      <c r="AK51" s="58">
        <f t="shared" si="63"/>
        <v>4.4865672189547956E-3</v>
      </c>
      <c r="AL51" s="61">
        <f t="shared" si="64"/>
        <v>0.33182353934767594</v>
      </c>
      <c r="AN51" s="166">
        <f t="shared" si="65"/>
        <v>1.0620745849141433E-4</v>
      </c>
      <c r="AO51" s="167">
        <f t="shared" si="66"/>
        <v>0.60523460033451837</v>
      </c>
      <c r="AP51" s="299">
        <f t="shared" si="67"/>
        <v>0</v>
      </c>
      <c r="AQ51" s="168">
        <f t="shared" si="41"/>
        <v>0</v>
      </c>
      <c r="AR51" s="168">
        <f t="shared" si="68"/>
        <v>0</v>
      </c>
      <c r="AS51" s="169">
        <f t="shared" si="42"/>
        <v>0</v>
      </c>
      <c r="AT51" s="168">
        <f t="shared" si="69"/>
        <v>17.098851031332003</v>
      </c>
      <c r="AU51" s="170">
        <f t="shared" si="43"/>
        <v>0</v>
      </c>
    </row>
    <row r="52" spans="2:47" x14ac:dyDescent="0.2">
      <c r="B52" s="34">
        <f>IF(AND((G52-B$6)*(G51-B$6)&lt;=0,ISNUMBER(SWeRF!C53)),(F51+(B$6-G51)*(F52-F51)/(G52-G51)),0)</f>
        <v>0</v>
      </c>
      <c r="C52" s="34">
        <f>IF(AND((G52-C$6)*(G51-C$6)&lt;=0,ISNUMBER(SWeRF!C53)),(F51+(C$6-G51)*(F52-F51)/(G52-G51)),0)</f>
        <v>0</v>
      </c>
      <c r="D52" s="322">
        <f>IF(AND((G52-D$6)*(G51-D$6)&lt;=0,ISNUMBER(SWeRF!C53)),(F51+(D$6-G51)*(F52-F51)/(G52-G51)),0)</f>
        <v>0</v>
      </c>
      <c r="E52" s="34">
        <f>IF(AND((G52-E$6)*(G51-E$6)&lt;=0,ISNUMBER(SWeRF!C53)),(F51+(E$6-G51)*(F52-F51)/(G52-G51)),0)</f>
        <v>0</v>
      </c>
      <c r="F52" s="100">
        <f>IF(ISNUMBER(SWeRF!C53),SWeRF!C53,F51)</f>
        <v>8.1912429856838607</v>
      </c>
      <c r="G52" s="32">
        <f>IF(ISNUMBER(SWeRF!D53),SWeRF!D53,G51)</f>
        <v>84.097145622005925</v>
      </c>
      <c r="H52" s="76">
        <f t="shared" si="20"/>
        <v>7.9657275822406408</v>
      </c>
      <c r="I52" s="35">
        <f t="shared" si="44"/>
        <v>2.0305500633542408</v>
      </c>
      <c r="J52" s="35">
        <f t="shared" si="45"/>
        <v>0.25491080913704522</v>
      </c>
      <c r="K52" s="36">
        <f t="shared" si="46"/>
        <v>36.362423097837613</v>
      </c>
      <c r="L52" s="144"/>
      <c r="M52" s="25">
        <f t="shared" si="47"/>
        <v>17.182096241793847</v>
      </c>
      <c r="N52" s="33">
        <f t="shared" si="24"/>
        <v>16.709051140734026</v>
      </c>
      <c r="O52" s="33">
        <f t="shared" si="48"/>
        <v>84.097145622005925</v>
      </c>
      <c r="P52" s="52">
        <f t="shared" si="49"/>
        <v>2.0305500633542408</v>
      </c>
      <c r="Q52" s="53">
        <f t="shared" si="50"/>
        <v>36.362423097837578</v>
      </c>
      <c r="R52" s="82">
        <f t="shared" si="51"/>
        <v>5.095291633089112E-4</v>
      </c>
      <c r="S52" s="6">
        <f t="shared" si="52"/>
        <v>17.017021120002841</v>
      </c>
      <c r="T52" s="9">
        <f t="shared" si="53"/>
        <v>9.1244807755786733E-3</v>
      </c>
      <c r="U52" s="60">
        <f t="shared" si="54"/>
        <v>68.347254357003422</v>
      </c>
      <c r="V52" s="58">
        <f t="shared" si="55"/>
        <v>3.6714217121658344E-4</v>
      </c>
      <c r="W52" s="61">
        <f t="shared" si="56"/>
        <v>2.509315936132233E-2</v>
      </c>
      <c r="X52" s="60">
        <f t="shared" si="57"/>
        <v>67.833830278336009</v>
      </c>
      <c r="Y52" s="58">
        <f t="shared" si="37"/>
        <v>2.8521294479089132E-4</v>
      </c>
      <c r="Z52" s="61">
        <f t="shared" si="38"/>
        <v>1.9347086490129742E-2</v>
      </c>
      <c r="AB52" s="25">
        <f t="shared" si="39"/>
        <v>13.334377502300768</v>
      </c>
      <c r="AC52" s="76">
        <f t="shared" si="34"/>
        <v>12.967265022869846</v>
      </c>
      <c r="AD52" s="33">
        <f t="shared" si="28"/>
        <v>84.097145622005925</v>
      </c>
      <c r="AE52" s="52">
        <f t="shared" si="58"/>
        <v>2.0305500633542408</v>
      </c>
      <c r="AF52" s="53">
        <f t="shared" si="59"/>
        <v>36.362423097837642</v>
      </c>
      <c r="AG52" s="82">
        <f t="shared" si="60"/>
        <v>4.3988856085706877E-3</v>
      </c>
      <c r="AH52" s="6">
        <f t="shared" si="61"/>
        <v>25.950950829315069</v>
      </c>
      <c r="AI52" s="9">
        <f t="shared" si="40"/>
        <v>7.8773797575623403E-2</v>
      </c>
      <c r="AJ52" s="60">
        <f t="shared" si="62"/>
        <v>72.965362534740365</v>
      </c>
      <c r="AK52" s="58">
        <f t="shared" si="63"/>
        <v>2.969013841616075E-3</v>
      </c>
      <c r="AL52" s="61">
        <f t="shared" si="64"/>
        <v>0.21663517132417912</v>
      </c>
      <c r="AN52" s="166">
        <f t="shared" si="65"/>
        <v>1.187939279095639E-4</v>
      </c>
      <c r="AO52" s="167">
        <f t="shared" si="66"/>
        <v>0.67695994708624574</v>
      </c>
      <c r="AP52" s="299">
        <f t="shared" si="67"/>
        <v>0</v>
      </c>
      <c r="AQ52" s="168">
        <f t="shared" si="41"/>
        <v>0</v>
      </c>
      <c r="AR52" s="168">
        <f t="shared" si="68"/>
        <v>0</v>
      </c>
      <c r="AS52" s="169">
        <f t="shared" si="42"/>
        <v>0</v>
      </c>
      <c r="AT52" s="168">
        <f t="shared" si="69"/>
        <v>17.098851031332003</v>
      </c>
      <c r="AU52" s="170">
        <f t="shared" si="43"/>
        <v>0</v>
      </c>
    </row>
    <row r="53" spans="2:47" x14ac:dyDescent="0.2">
      <c r="B53" s="34">
        <f>IF(AND((G53-B$6)*(G52-B$6)&lt;=0,ISNUMBER(SWeRF!C54)),(F52+(B$6-G52)*(F53-F52)/(G53-G52)),0)</f>
        <v>0</v>
      </c>
      <c r="C53" s="34">
        <f>IF(AND((G53-C$6)*(G52-C$6)&lt;=0,ISNUMBER(SWeRF!C54)),(F52+(C$6-G52)*(F53-F52)/(G53-G52)),0)</f>
        <v>0</v>
      </c>
      <c r="D53" s="322">
        <f>IF(AND((G53-D$6)*(G52-D$6)&lt;=0,ISNUMBER(SWeRF!C54)),(F52+(D$6-G52)*(F53-F52)/(G53-G52)),0)</f>
        <v>0</v>
      </c>
      <c r="E53" s="34">
        <f>IF(AND((G53-E$6)*(G52-E$6)&lt;=0,ISNUMBER(SWeRF!C54)),(F52+(E$6-G52)*(F53-F52)/(G53-G52)),0)</f>
        <v>0</v>
      </c>
      <c r="F53" s="100">
        <f>IF(ISNUMBER(SWeRF!C54),SWeRF!C54,F52)</f>
        <v>8.6589492945775302</v>
      </c>
      <c r="G53" s="32">
        <f>IF(ISNUMBER(SWeRF!D54),SWeRF!D54,G52)</f>
        <v>85.96098379081765</v>
      </c>
      <c r="H53" s="76">
        <f t="shared" si="20"/>
        <v>8.4218500148483049</v>
      </c>
      <c r="I53" s="35">
        <f t="shared" si="44"/>
        <v>1.8638381688117249</v>
      </c>
      <c r="J53" s="35">
        <f t="shared" si="45"/>
        <v>0.22130982688193795</v>
      </c>
      <c r="K53" s="36">
        <f t="shared" si="46"/>
        <v>33.561586002147521</v>
      </c>
      <c r="L53" s="144"/>
      <c r="M53" s="25">
        <f t="shared" si="47"/>
        <v>18.163165272019214</v>
      </c>
      <c r="N53" s="33">
        <f t="shared" si="24"/>
        <v>17.665821627069651</v>
      </c>
      <c r="O53" s="33">
        <f t="shared" si="48"/>
        <v>85.96098379081765</v>
      </c>
      <c r="P53" s="52">
        <f t="shared" si="49"/>
        <v>1.8638381688117249</v>
      </c>
      <c r="Q53" s="53">
        <f t="shared" si="50"/>
        <v>33.561586002147472</v>
      </c>
      <c r="R53" s="82">
        <f t="shared" si="51"/>
        <v>2.7717891255203681E-4</v>
      </c>
      <c r="S53" s="6">
        <f t="shared" si="52"/>
        <v>17.017298298915392</v>
      </c>
      <c r="T53" s="9">
        <f t="shared" si="53"/>
        <v>4.9910791973574002E-3</v>
      </c>
      <c r="U53" s="60">
        <f t="shared" si="54"/>
        <v>67.323668845404399</v>
      </c>
      <c r="V53" s="58">
        <f t="shared" si="55"/>
        <v>2.208941478444304E-4</v>
      </c>
      <c r="W53" s="61">
        <f t="shared" si="56"/>
        <v>1.4871404459366232E-2</v>
      </c>
      <c r="X53" s="60">
        <f t="shared" si="57"/>
        <v>66.814356736231147</v>
      </c>
      <c r="Y53" s="58">
        <f t="shared" si="37"/>
        <v>1.703249203470758E-4</v>
      </c>
      <c r="Z53" s="61">
        <f t="shared" si="38"/>
        <v>1.1380149989139677E-2</v>
      </c>
      <c r="AB53" s="25">
        <f t="shared" si="39"/>
        <v>14.095748211715172</v>
      </c>
      <c r="AC53" s="76">
        <f t="shared" si="34"/>
        <v>13.709778547897521</v>
      </c>
      <c r="AD53" s="33">
        <f t="shared" si="28"/>
        <v>85.96098379081765</v>
      </c>
      <c r="AE53" s="52">
        <f t="shared" si="58"/>
        <v>1.8638381688117249</v>
      </c>
      <c r="AF53" s="53">
        <f t="shared" si="59"/>
        <v>33.561586002147514</v>
      </c>
      <c r="AG53" s="82">
        <f t="shared" si="60"/>
        <v>2.5959000828506308E-3</v>
      </c>
      <c r="AH53" s="6">
        <f t="shared" si="61"/>
        <v>25.953546729397921</v>
      </c>
      <c r="AI53" s="9">
        <f t="shared" si="40"/>
        <v>4.6743609687485685E-2</v>
      </c>
      <c r="AJ53" s="60">
        <f t="shared" si="62"/>
        <v>71.964692824402618</v>
      </c>
      <c r="AK53" s="58">
        <f t="shared" si="63"/>
        <v>1.9353534682167162E-3</v>
      </c>
      <c r="AL53" s="61">
        <f t="shared" si="64"/>
        <v>0.13927711784685823</v>
      </c>
      <c r="AN53" s="166">
        <f t="shared" si="65"/>
        <v>1.3278785269857463E-4</v>
      </c>
      <c r="AO53" s="167">
        <f t="shared" si="66"/>
        <v>0.75670582931609776</v>
      </c>
      <c r="AP53" s="299">
        <f t="shared" si="67"/>
        <v>0</v>
      </c>
      <c r="AQ53" s="168">
        <f t="shared" si="41"/>
        <v>0</v>
      </c>
      <c r="AR53" s="168">
        <f t="shared" si="68"/>
        <v>0</v>
      </c>
      <c r="AS53" s="169">
        <f t="shared" si="42"/>
        <v>0</v>
      </c>
      <c r="AT53" s="168">
        <f t="shared" si="69"/>
        <v>17.098851031332003</v>
      </c>
      <c r="AU53" s="170">
        <f t="shared" si="43"/>
        <v>0</v>
      </c>
    </row>
    <row r="54" spans="2:47" x14ac:dyDescent="0.2">
      <c r="B54" s="34">
        <f>IF(AND((G54-B$6)*(G53-B$6)&lt;=0,ISNUMBER(SWeRF!C55)),(F53+(B$6-G53)*(F54-F53)/(G54-G53)),0)</f>
        <v>0</v>
      </c>
      <c r="C54" s="34">
        <f>IF(AND((G54-C$6)*(G53-C$6)&lt;=0,ISNUMBER(SWeRF!C55)),(F53+(C$6-G53)*(F54-F53)/(G54-G53)),0)</f>
        <v>0</v>
      </c>
      <c r="D54" s="322">
        <f>IF(AND((G54-D$6)*(G53-D$6)&lt;=0,ISNUMBER(SWeRF!C55)),(F53+(D$6-G53)*(F54-F53)/(G54-G53)),0)</f>
        <v>0</v>
      </c>
      <c r="E54" s="34">
        <f>IF(AND((G54-E$6)*(G53-E$6)&lt;=0,ISNUMBER(SWeRF!C55)),(F53+(E$6-G53)*(F54-F53)/(G54-G53)),0)</f>
        <v>0</v>
      </c>
      <c r="F54" s="100">
        <f>IF(ISNUMBER(SWeRF!C55),SWeRF!C55,F53)</f>
        <v>9.1507171307808726</v>
      </c>
      <c r="G54" s="32">
        <f>IF(ISNUMBER(SWeRF!D55),SWeRF!D55,G53)</f>
        <v>87.662120886102059</v>
      </c>
      <c r="H54" s="76">
        <f t="shared" si="20"/>
        <v>8.9014378414081818</v>
      </c>
      <c r="I54" s="35">
        <f t="shared" si="44"/>
        <v>1.7011370952844089</v>
      </c>
      <c r="J54" s="35">
        <f t="shared" si="45"/>
        <v>0.19110812495605697</v>
      </c>
      <c r="K54" s="36">
        <f t="shared" si="46"/>
        <v>30.792103506188827</v>
      </c>
      <c r="L54" s="144"/>
      <c r="M54" s="25">
        <f t="shared" si="47"/>
        <v>19.194706187730322</v>
      </c>
      <c r="N54" s="33">
        <f t="shared" si="24"/>
        <v>18.671813539011033</v>
      </c>
      <c r="O54" s="33">
        <f t="shared" si="48"/>
        <v>87.662120886102059</v>
      </c>
      <c r="P54" s="52">
        <f t="shared" si="49"/>
        <v>1.7011370952844089</v>
      </c>
      <c r="Q54" s="53">
        <f t="shared" si="50"/>
        <v>30.792103506188898</v>
      </c>
      <c r="R54" s="82">
        <f t="shared" si="51"/>
        <v>1.4769365346554013E-4</v>
      </c>
      <c r="S54" s="6">
        <f t="shared" si="52"/>
        <v>17.017445992568859</v>
      </c>
      <c r="T54" s="9">
        <f t="shared" si="53"/>
        <v>2.6733872756785427E-3</v>
      </c>
      <c r="U54" s="60">
        <f t="shared" si="54"/>
        <v>66.308952547609806</v>
      </c>
      <c r="V54" s="58">
        <f t="shared" si="55"/>
        <v>1.3093337152658702E-4</v>
      </c>
      <c r="W54" s="61">
        <f t="shared" si="56"/>
        <v>8.6820547194550231E-3</v>
      </c>
      <c r="X54" s="60">
        <f t="shared" si="57"/>
        <v>65.805225831304455</v>
      </c>
      <c r="Y54" s="58">
        <f t="shared" si="37"/>
        <v>1.0021097096113429E-4</v>
      </c>
      <c r="Z54" s="61">
        <f t="shared" si="38"/>
        <v>6.5944055748717346E-3</v>
      </c>
      <c r="AB54" s="25">
        <f t="shared" si="39"/>
        <v>14.896288249763808</v>
      </c>
      <c r="AC54" s="76">
        <f t="shared" si="34"/>
        <v>14.490490966761683</v>
      </c>
      <c r="AD54" s="33">
        <f t="shared" si="28"/>
        <v>87.662120886102059</v>
      </c>
      <c r="AE54" s="52">
        <f t="shared" si="58"/>
        <v>1.7011370952844089</v>
      </c>
      <c r="AF54" s="53">
        <f t="shared" si="59"/>
        <v>30.79210350618882</v>
      </c>
      <c r="AG54" s="82">
        <f t="shared" si="60"/>
        <v>1.5001385196355334E-3</v>
      </c>
      <c r="AH54" s="6">
        <f t="shared" si="61"/>
        <v>25.955046867917556</v>
      </c>
      <c r="AI54" s="9">
        <f t="shared" si="40"/>
        <v>2.7153849444753558E-2</v>
      </c>
      <c r="AJ54" s="60">
        <f t="shared" si="62"/>
        <v>70.959532345060069</v>
      </c>
      <c r="AK54" s="58">
        <f t="shared" si="63"/>
        <v>1.2427429357881881E-3</v>
      </c>
      <c r="AL54" s="61">
        <f t="shared" si="64"/>
        <v>8.8184457548656836E-2</v>
      </c>
      <c r="AN54" s="166">
        <f t="shared" si="65"/>
        <v>1.4834184269373239E-4</v>
      </c>
      <c r="AO54" s="167">
        <f t="shared" si="66"/>
        <v>0.84534191054844732</v>
      </c>
      <c r="AP54" s="299">
        <f t="shared" si="67"/>
        <v>0</v>
      </c>
      <c r="AQ54" s="168">
        <f t="shared" si="41"/>
        <v>0</v>
      </c>
      <c r="AR54" s="168">
        <f t="shared" si="68"/>
        <v>0</v>
      </c>
      <c r="AS54" s="169">
        <f t="shared" si="42"/>
        <v>0</v>
      </c>
      <c r="AT54" s="168">
        <f t="shared" si="69"/>
        <v>17.098851031332003</v>
      </c>
      <c r="AU54" s="170">
        <f t="shared" si="43"/>
        <v>0</v>
      </c>
    </row>
    <row r="55" spans="2:47" x14ac:dyDescent="0.2">
      <c r="B55" s="34">
        <f>IF(AND((G55-B$6)*(G54-B$6)&lt;=0,ISNUMBER(SWeRF!C56)),(F54+(B$6-G54)*(F55-F54)/(G55-G54)),0)</f>
        <v>0</v>
      </c>
      <c r="C55" s="34">
        <f>IF(AND((G55-C$6)*(G54-C$6)&lt;=0,ISNUMBER(SWeRF!C56)),(F54+(C$6-G54)*(F55-F54)/(G55-G54)),0)</f>
        <v>0</v>
      </c>
      <c r="D55" s="322">
        <f>IF(AND((G55-D$6)*(G54-D$6)&lt;=0,ISNUMBER(SWeRF!C56)),(F54+(D$6-G54)*(F55-F54)/(G55-G54)),0)</f>
        <v>0</v>
      </c>
      <c r="E55" s="34">
        <f>IF(AND((G55-E$6)*(G54-E$6)&lt;=0,ISNUMBER(SWeRF!C56)),(F54+(E$6-G54)*(F55-F54)/(G55-G54)),0)</f>
        <v>0</v>
      </c>
      <c r="F55" s="100">
        <f>IF(ISNUMBER(SWeRF!C56),SWeRF!C56,F54)</f>
        <v>9.6677843589227521</v>
      </c>
      <c r="G55" s="32">
        <f>IF(ISNUMBER(SWeRF!D56),SWeRF!D56,G54)</f>
        <v>89.206062984695805</v>
      </c>
      <c r="H55" s="76">
        <f t="shared" si="20"/>
        <v>9.4056982701918415</v>
      </c>
      <c r="I55" s="35">
        <f t="shared" si="44"/>
        <v>1.543942098593746</v>
      </c>
      <c r="J55" s="35">
        <f t="shared" si="45"/>
        <v>0.1641496520770547</v>
      </c>
      <c r="K55" s="36">
        <f t="shared" si="46"/>
        <v>28.085039499031769</v>
      </c>
      <c r="L55" s="144"/>
      <c r="M55" s="25">
        <f t="shared" si="47"/>
        <v>20.279315555678359</v>
      </c>
      <c r="N55" s="33">
        <f t="shared" si="24"/>
        <v>19.729559137991785</v>
      </c>
      <c r="O55" s="33">
        <f t="shared" si="48"/>
        <v>89.206062984695805</v>
      </c>
      <c r="P55" s="52">
        <f t="shared" si="49"/>
        <v>1.543942098593746</v>
      </c>
      <c r="Q55" s="53">
        <f t="shared" si="50"/>
        <v>28.08503949903173</v>
      </c>
      <c r="R55" s="82">
        <f t="shared" si="51"/>
        <v>7.7097528118813001E-5</v>
      </c>
      <c r="S55" s="6">
        <f t="shared" si="52"/>
        <v>17.017523090096979</v>
      </c>
      <c r="T55" s="9">
        <f t="shared" si="53"/>
        <v>1.4024406255045208E-3</v>
      </c>
      <c r="U55" s="60">
        <f t="shared" si="54"/>
        <v>65.306069623492832</v>
      </c>
      <c r="V55" s="58">
        <f t="shared" si="55"/>
        <v>7.6463803619031268E-5</v>
      </c>
      <c r="W55" s="61">
        <f t="shared" si="56"/>
        <v>4.9935504828215391E-3</v>
      </c>
      <c r="X55" s="60">
        <f t="shared" si="57"/>
        <v>64.80942899380058</v>
      </c>
      <c r="Y55" s="58">
        <f t="shared" si="37"/>
        <v>5.8090134017363404E-5</v>
      </c>
      <c r="Z55" s="61">
        <f t="shared" si="38"/>
        <v>3.7647884158386732E-3</v>
      </c>
      <c r="AB55" s="25">
        <f t="shared" si="39"/>
        <v>15.738012714068228</v>
      </c>
      <c r="AC55" s="76">
        <f t="shared" si="34"/>
        <v>15.311367472149833</v>
      </c>
      <c r="AD55" s="33">
        <f t="shared" si="28"/>
        <v>89.206062984695805</v>
      </c>
      <c r="AE55" s="52">
        <f t="shared" si="58"/>
        <v>1.543942098593746</v>
      </c>
      <c r="AF55" s="53">
        <f t="shared" si="59"/>
        <v>28.085039499031819</v>
      </c>
      <c r="AG55" s="82">
        <f t="shared" si="60"/>
        <v>8.4904154341496573E-4</v>
      </c>
      <c r="AH55" s="6">
        <f t="shared" si="61"/>
        <v>25.95589590946097</v>
      </c>
      <c r="AI55" s="9">
        <f t="shared" si="40"/>
        <v>1.5444468613717479E-2</v>
      </c>
      <c r="AJ55" s="60">
        <f t="shared" si="62"/>
        <v>69.952230809292786</v>
      </c>
      <c r="AK55" s="58">
        <f t="shared" si="63"/>
        <v>7.8613360680801492E-4</v>
      </c>
      <c r="AL55" s="61">
        <f t="shared" si="64"/>
        <v>5.4991799510376083E-2</v>
      </c>
      <c r="AN55" s="166">
        <f t="shared" si="65"/>
        <v>1.6562482326421996E-4</v>
      </c>
      <c r="AO55" s="167">
        <f t="shared" si="66"/>
        <v>0.94383083012855284</v>
      </c>
      <c r="AP55" s="299">
        <f t="shared" si="67"/>
        <v>0</v>
      </c>
      <c r="AQ55" s="168">
        <f t="shared" si="41"/>
        <v>0</v>
      </c>
      <c r="AR55" s="168">
        <f t="shared" si="68"/>
        <v>0</v>
      </c>
      <c r="AS55" s="169">
        <f t="shared" si="42"/>
        <v>0</v>
      </c>
      <c r="AT55" s="168">
        <f t="shared" si="69"/>
        <v>17.098851031332003</v>
      </c>
      <c r="AU55" s="170">
        <f t="shared" si="43"/>
        <v>0</v>
      </c>
    </row>
    <row r="56" spans="2:47" x14ac:dyDescent="0.2">
      <c r="B56" s="34">
        <f>IF(AND((G56-B$6)*(G55-B$6)&lt;=0,ISNUMBER(SWeRF!C57)),(F55+(B$6-G55)*(F56-F55)/(G56-G55)),0)</f>
        <v>0</v>
      </c>
      <c r="C56" s="34">
        <f>IF(AND((G56-C$6)*(G55-C$6)&lt;=0,ISNUMBER(SWeRF!C57)),(F55+(C$6-G55)*(F56-F55)/(G56-G55)),0)</f>
        <v>0</v>
      </c>
      <c r="D56" s="322">
        <f>IF(AND((G56-D$6)*(G55-D$6)&lt;=0,ISNUMBER(SWeRF!C57)),(F55+(D$6-G55)*(F56-F55)/(G56-G55)),0)</f>
        <v>0</v>
      </c>
      <c r="E56" s="34">
        <f>IF(AND((G56-E$6)*(G55-E$6)&lt;=0,ISNUMBER(SWeRF!C57)),(F55+(E$6-G55)*(F56-F55)/(G56-G55)),0)</f>
        <v>9.9775369587776108</v>
      </c>
      <c r="F56" s="100">
        <f>IF(ISNUMBER(SWeRF!C57),SWeRF!C57,F55)</f>
        <v>10.211452526573668</v>
      </c>
      <c r="G56" s="32">
        <f>IF(ISNUMBER(SWeRF!D57),SWeRF!D57,G55)</f>
        <v>90.599556639124927</v>
      </c>
      <c r="H56" s="76">
        <f t="shared" si="20"/>
        <v>9.935900614352537</v>
      </c>
      <c r="I56" s="35">
        <f t="shared" si="44"/>
        <v>1.3934936544291219</v>
      </c>
      <c r="J56" s="35">
        <f t="shared" si="45"/>
        <v>0.14024834874215653</v>
      </c>
      <c r="K56" s="36">
        <f t="shared" si="46"/>
        <v>25.467031695018822</v>
      </c>
      <c r="L56" s="144"/>
      <c r="M56" s="25">
        <f t="shared" si="47"/>
        <v>21.419723525079828</v>
      </c>
      <c r="N56" s="33">
        <f t="shared" si="24"/>
        <v>20.841720957744371</v>
      </c>
      <c r="O56" s="33">
        <f t="shared" si="48"/>
        <v>90.599556639124927</v>
      </c>
      <c r="P56" s="52">
        <f t="shared" si="49"/>
        <v>1.3934936544291219</v>
      </c>
      <c r="Q56" s="53">
        <f t="shared" si="50"/>
        <v>25.467031695018783</v>
      </c>
      <c r="R56" s="82">
        <f t="shared" si="51"/>
        <v>3.9432952574187787E-5</v>
      </c>
      <c r="S56" s="6">
        <f t="shared" si="52"/>
        <v>17.017562523049552</v>
      </c>
      <c r="T56" s="9">
        <f t="shared" si="53"/>
        <v>7.2066367137238636E-4</v>
      </c>
      <c r="U56" s="60">
        <f t="shared" si="54"/>
        <v>64.318032372884133</v>
      </c>
      <c r="V56" s="58">
        <f t="shared" si="55"/>
        <v>4.3996846683547197E-5</v>
      </c>
      <c r="W56" s="61">
        <f t="shared" si="56"/>
        <v>2.8297906092972086E-3</v>
      </c>
      <c r="X56" s="60">
        <f t="shared" si="57"/>
        <v>63.829992369253816</v>
      </c>
      <c r="Y56" s="58">
        <f t="shared" si="37"/>
        <v>3.3178673984335383E-5</v>
      </c>
      <c r="Z56" s="61">
        <f t="shared" si="38"/>
        <v>2.1177945072420874E-3</v>
      </c>
      <c r="AB56" s="25">
        <f t="shared" si="39"/>
        <v>16.62304037056818</v>
      </c>
      <c r="AC56" s="76">
        <f t="shared" si="34"/>
        <v>16.17447435617218</v>
      </c>
      <c r="AD56" s="33">
        <f t="shared" si="28"/>
        <v>90.599556639124927</v>
      </c>
      <c r="AE56" s="52">
        <f t="shared" si="58"/>
        <v>1.3934936544291219</v>
      </c>
      <c r="AF56" s="53">
        <f t="shared" si="59"/>
        <v>25.467031695018793</v>
      </c>
      <c r="AG56" s="82">
        <f t="shared" si="60"/>
        <v>4.7068929585767358E-4</v>
      </c>
      <c r="AH56" s="6">
        <f t="shared" si="61"/>
        <v>25.956366598756826</v>
      </c>
      <c r="AI56" s="9">
        <f t="shared" si="40"/>
        <v>8.6021627569048738E-3</v>
      </c>
      <c r="AJ56" s="60">
        <f t="shared" si="62"/>
        <v>68.945274696671959</v>
      </c>
      <c r="AK56" s="58">
        <f t="shared" si="63"/>
        <v>4.8991960657296385E-4</v>
      </c>
      <c r="AL56" s="61">
        <f t="shared" si="64"/>
        <v>3.3777641854458446E-2</v>
      </c>
      <c r="AN56" s="166">
        <f t="shared" si="65"/>
        <v>1.8482376799690368E-4</v>
      </c>
      <c r="AO56" s="167">
        <f t="shared" si="66"/>
        <v>1.0532380771070657</v>
      </c>
      <c r="AP56" s="299">
        <f t="shared" si="67"/>
        <v>0</v>
      </c>
      <c r="AQ56" s="168">
        <f t="shared" si="41"/>
        <v>0</v>
      </c>
      <c r="AR56" s="168">
        <f t="shared" si="68"/>
        <v>0</v>
      </c>
      <c r="AS56" s="169">
        <f t="shared" si="42"/>
        <v>0</v>
      </c>
      <c r="AT56" s="168">
        <f t="shared" si="69"/>
        <v>17.098851031332003</v>
      </c>
      <c r="AU56" s="170">
        <f t="shared" si="43"/>
        <v>0</v>
      </c>
    </row>
    <row r="57" spans="2:47" x14ac:dyDescent="0.2">
      <c r="B57" s="34">
        <f>IF(AND((G57-B$6)*(G56-B$6)&lt;=0,ISNUMBER(SWeRF!C58)),(F56+(B$6-G56)*(F57-F56)/(G57-G56)),0)</f>
        <v>0</v>
      </c>
      <c r="C57" s="34">
        <f>IF(AND((G57-C$6)*(G56-C$6)&lt;=0,ISNUMBER(SWeRF!C58)),(F56+(C$6-G56)*(F57-F56)/(G57-G56)),0)</f>
        <v>0</v>
      </c>
      <c r="D57" s="322">
        <f>IF(AND((G57-D$6)*(G56-D$6)&lt;=0,ISNUMBER(SWeRF!C58)),(F56+(D$6-G56)*(F57-F56)/(G57-G56)),0)</f>
        <v>0</v>
      </c>
      <c r="E57" s="34">
        <f>IF(AND((G57-E$6)*(G56-E$6)&lt;=0,ISNUMBER(SWeRF!C58)),(F56+(E$6-G56)*(F57-F56)/(G57-G56)),0)</f>
        <v>0</v>
      </c>
      <c r="F57" s="100">
        <f>IF(ISNUMBER(SWeRF!C58),SWeRF!C58,F56)</f>
        <v>10.783090140465921</v>
      </c>
      <c r="G57" s="32">
        <f>IF(ISNUMBER(SWeRF!D58),SWeRF!D58,G56)</f>
        <v>91.850336677237792</v>
      </c>
      <c r="H57" s="76">
        <f t="shared" si="20"/>
        <v>10.493379487044788</v>
      </c>
      <c r="I57" s="35">
        <f t="shared" si="44"/>
        <v>1.2507800381128646</v>
      </c>
      <c r="J57" s="35">
        <f t="shared" si="45"/>
        <v>0.1191970651263578</v>
      </c>
      <c r="K57" s="36">
        <f t="shared" si="46"/>
        <v>22.96019239421938</v>
      </c>
      <c r="L57" s="144"/>
      <c r="M57" s="25">
        <f t="shared" si="47"/>
        <v>22.618800699873962</v>
      </c>
      <c r="N57" s="33">
        <f t="shared" si="24"/>
        <v>22.011098506439481</v>
      </c>
      <c r="O57" s="33">
        <f t="shared" si="48"/>
        <v>91.850336677237792</v>
      </c>
      <c r="P57" s="52">
        <f t="shared" si="49"/>
        <v>1.2507800381128646</v>
      </c>
      <c r="Q57" s="53">
        <f t="shared" si="50"/>
        <v>22.96019239421943</v>
      </c>
      <c r="R57" s="82">
        <f t="shared" si="51"/>
        <v>1.9764173891377222E-5</v>
      </c>
      <c r="S57" s="6">
        <f t="shared" si="52"/>
        <v>17.017582287223444</v>
      </c>
      <c r="T57" s="9">
        <f t="shared" si="53"/>
        <v>3.6280498667334876E-4</v>
      </c>
      <c r="U57" s="60">
        <f t="shared" si="54"/>
        <v>63.347873650467569</v>
      </c>
      <c r="V57" s="58">
        <f t="shared" si="55"/>
        <v>2.4943976171809545E-5</v>
      </c>
      <c r="W57" s="61">
        <f t="shared" si="56"/>
        <v>1.5801478508720647E-3</v>
      </c>
      <c r="X57" s="60">
        <f t="shared" si="57"/>
        <v>62.869947771428137</v>
      </c>
      <c r="Y57" s="58">
        <f t="shared" si="37"/>
        <v>1.8672500196492692E-5</v>
      </c>
      <c r="Z57" s="61">
        <f t="shared" si="38"/>
        <v>1.1739391121154772E-3</v>
      </c>
      <c r="AB57" s="25">
        <f t="shared" si="39"/>
        <v>17.55359898682163</v>
      </c>
      <c r="AC57" s="76">
        <f t="shared" si="34"/>
        <v>17.081984211639487</v>
      </c>
      <c r="AD57" s="33">
        <f t="shared" si="28"/>
        <v>91.850336677237792</v>
      </c>
      <c r="AE57" s="52">
        <f t="shared" si="58"/>
        <v>1.2507800381128646</v>
      </c>
      <c r="AF57" s="53">
        <f t="shared" si="59"/>
        <v>22.960192394219408</v>
      </c>
      <c r="AG57" s="82">
        <f t="shared" si="60"/>
        <v>2.5562241474016344E-4</v>
      </c>
      <c r="AH57" s="6">
        <f t="shared" si="61"/>
        <v>25.956622221171568</v>
      </c>
      <c r="AI57" s="9">
        <f t="shared" si="40"/>
        <v>4.6923836676864908E-3</v>
      </c>
      <c r="AJ57" s="60">
        <f t="shared" si="62"/>
        <v>67.94127550935967</v>
      </c>
      <c r="AK57" s="58">
        <f t="shared" si="63"/>
        <v>3.008044769545748E-4</v>
      </c>
      <c r="AL57" s="61">
        <f t="shared" si="64"/>
        <v>2.0437039843219599E-2</v>
      </c>
      <c r="AN57" s="166">
        <f t="shared" si="65"/>
        <v>2.0614561479867792E-4</v>
      </c>
      <c r="AO57" s="167">
        <f t="shared" si="66"/>
        <v>1.1747429093548769</v>
      </c>
      <c r="AP57" s="299">
        <f t="shared" si="67"/>
        <v>0</v>
      </c>
      <c r="AQ57" s="168">
        <f t="shared" si="41"/>
        <v>0</v>
      </c>
      <c r="AR57" s="168">
        <f t="shared" si="68"/>
        <v>0</v>
      </c>
      <c r="AS57" s="169">
        <f t="shared" si="42"/>
        <v>0</v>
      </c>
      <c r="AT57" s="168">
        <f t="shared" si="69"/>
        <v>17.098851031332003</v>
      </c>
      <c r="AU57" s="170">
        <f t="shared" si="43"/>
        <v>0</v>
      </c>
    </row>
    <row r="58" spans="2:47" x14ac:dyDescent="0.2">
      <c r="B58" s="34">
        <f>IF(AND((G58-B$6)*(G57-B$6)&lt;=0,ISNUMBER(SWeRF!C59)),(F57+(B$6-G57)*(F58-F57)/(G58-G57)),0)</f>
        <v>0</v>
      </c>
      <c r="C58" s="34">
        <f>IF(AND((G58-C$6)*(G57-C$6)&lt;=0,ISNUMBER(SWeRF!C59)),(F57+(C$6-G57)*(F58-F57)/(G58-G57)),0)</f>
        <v>0</v>
      </c>
      <c r="D58" s="322">
        <f>IF(AND((G58-D$6)*(G57-D$6)&lt;=0,ISNUMBER(SWeRF!C59)),(F57+(D$6-G57)*(F58-F57)/(G58-G57)),0)</f>
        <v>0</v>
      </c>
      <c r="E58" s="34">
        <f>IF(AND((G58-E$6)*(G57-E$6)&lt;=0,ISNUMBER(SWeRF!C59)),(F57+(E$6-G57)*(F58-F57)/(G58-G57)),0)</f>
        <v>0</v>
      </c>
      <c r="F58" s="100">
        <f>IF(ISNUMBER(SWeRF!C59),SWeRF!C59,F57)</f>
        <v>11.384136111261549</v>
      </c>
      <c r="G58" s="32">
        <f>IF(ISNUMBER(SWeRF!D59),SWeRF!D59,G57)</f>
        <v>92.966882785338441</v>
      </c>
      <c r="H58" s="76">
        <f t="shared" si="20"/>
        <v>11.079538160910248</v>
      </c>
      <c r="I58" s="35">
        <f t="shared" si="44"/>
        <v>1.1165461081006498</v>
      </c>
      <c r="J58" s="35">
        <f t="shared" si="45"/>
        <v>0.10077550994317971</v>
      </c>
      <c r="K58" s="36">
        <f t="shared" si="46"/>
        <v>20.582144817876809</v>
      </c>
      <c r="L58" s="144"/>
      <c r="M58" s="25">
        <f t="shared" si="47"/>
        <v>23.879565364528908</v>
      </c>
      <c r="N58" s="33">
        <f t="shared" si="24"/>
        <v>23.240635313603036</v>
      </c>
      <c r="O58" s="33">
        <f t="shared" si="48"/>
        <v>92.966882785338441</v>
      </c>
      <c r="P58" s="52">
        <f t="shared" si="49"/>
        <v>1.1165461081006498</v>
      </c>
      <c r="Q58" s="53">
        <f t="shared" si="50"/>
        <v>20.582144817876809</v>
      </c>
      <c r="R58" s="82">
        <f t="shared" si="51"/>
        <v>9.7085892133602391E-6</v>
      </c>
      <c r="S58" s="6">
        <f t="shared" si="52"/>
        <v>17.017591995812658</v>
      </c>
      <c r="T58" s="9">
        <f t="shared" si="53"/>
        <v>1.7896581942914645E-4</v>
      </c>
      <c r="U58" s="60">
        <f t="shared" si="54"/>
        <v>62.398616410808096</v>
      </c>
      <c r="V58" s="58">
        <f t="shared" si="55"/>
        <v>1.393492076573466E-5</v>
      </c>
      <c r="W58" s="61">
        <f t="shared" si="56"/>
        <v>8.6951977557608124E-4</v>
      </c>
      <c r="X58" s="60">
        <f t="shared" si="57"/>
        <v>61.932300891891209</v>
      </c>
      <c r="Y58" s="58">
        <f t="shared" si="37"/>
        <v>1.035494756562727E-5</v>
      </c>
      <c r="Z58" s="61">
        <f t="shared" si="38"/>
        <v>6.4130572835418447E-4</v>
      </c>
      <c r="AB58" s="25">
        <f t="shared" si="39"/>
        <v>18.532030939680691</v>
      </c>
      <c r="AC58" s="76">
        <f t="shared" si="34"/>
        <v>18.03618140090984</v>
      </c>
      <c r="AD58" s="33">
        <f t="shared" si="28"/>
        <v>92.966882785338441</v>
      </c>
      <c r="AE58" s="52">
        <f t="shared" si="58"/>
        <v>1.1165461081006498</v>
      </c>
      <c r="AF58" s="53">
        <f t="shared" si="59"/>
        <v>20.582144817876799</v>
      </c>
      <c r="AG58" s="82">
        <f t="shared" si="60"/>
        <v>1.3601045064029143E-4</v>
      </c>
      <c r="AH58" s="6">
        <f t="shared" si="61"/>
        <v>25.956758231622207</v>
      </c>
      <c r="AI58" s="9">
        <f t="shared" si="40"/>
        <v>2.5071842277836465E-3</v>
      </c>
      <c r="AJ58" s="60">
        <f t="shared" si="62"/>
        <v>66.942955138343095</v>
      </c>
      <c r="AK58" s="58">
        <f t="shared" si="63"/>
        <v>1.8196620488408755E-4</v>
      </c>
      <c r="AL58" s="61">
        <f t="shared" si="64"/>
        <v>1.2181355490250021E-2</v>
      </c>
      <c r="AN58" s="166">
        <f t="shared" si="65"/>
        <v>2.298193848035525E-4</v>
      </c>
      <c r="AO58" s="167">
        <f t="shared" si="66"/>
        <v>1.3096504283825527</v>
      </c>
      <c r="AP58" s="299">
        <f t="shared" si="67"/>
        <v>0</v>
      </c>
      <c r="AQ58" s="168">
        <f t="shared" si="41"/>
        <v>0</v>
      </c>
      <c r="AR58" s="168">
        <f t="shared" si="68"/>
        <v>0</v>
      </c>
      <c r="AS58" s="169">
        <f t="shared" si="42"/>
        <v>0</v>
      </c>
      <c r="AT58" s="168">
        <f t="shared" si="69"/>
        <v>17.098851031332003</v>
      </c>
      <c r="AU58" s="170">
        <f t="shared" si="43"/>
        <v>0</v>
      </c>
    </row>
    <row r="59" spans="2:47" x14ac:dyDescent="0.2">
      <c r="B59" s="34">
        <f>IF(AND((G59-B$6)*(G58-B$6)&lt;=0,ISNUMBER(SWeRF!C60)),(F58+(B$6-G58)*(F59-F58)/(G59-G58)),0)</f>
        <v>0</v>
      </c>
      <c r="C59" s="34">
        <f>IF(AND((G59-C$6)*(G58-C$6)&lt;=0,ISNUMBER(SWeRF!C60)),(F58+(C$6-G58)*(F59-F58)/(G59-G58)),0)</f>
        <v>0</v>
      </c>
      <c r="D59" s="322">
        <f>IF(AND((G59-D$6)*(G58-D$6)&lt;=0,ISNUMBER(SWeRF!C60)),(F58+(D$6-G58)*(F59-F58)/(G59-G58)),0)</f>
        <v>0</v>
      </c>
      <c r="E59" s="34">
        <f>IF(AND((G59-E$6)*(G58-E$6)&lt;=0,ISNUMBER(SWeRF!C60)),(F58+(E$6-G58)*(F59-F58)/(G59-G58)),0)</f>
        <v>0</v>
      </c>
      <c r="F59" s="100">
        <f>IF(ISNUMBER(SWeRF!C60),SWeRF!C60,F58)</f>
        <v>12.016103375539148</v>
      </c>
      <c r="G59" s="32">
        <f>IF(ISNUMBER(SWeRF!D60),SWeRF!D60,G58)</f>
        <v>93.95819004976012</v>
      </c>
      <c r="H59" s="76">
        <f t="shared" si="20"/>
        <v>11.695852100387</v>
      </c>
      <c r="I59" s="35">
        <f t="shared" si="44"/>
        <v>0.99130726442167827</v>
      </c>
      <c r="J59" s="35">
        <f t="shared" si="45"/>
        <v>8.475716484042041E-2</v>
      </c>
      <c r="K59" s="36">
        <f t="shared" si="46"/>
        <v>18.346176781749104</v>
      </c>
      <c r="L59" s="144"/>
      <c r="M59" s="25">
        <f t="shared" si="47"/>
        <v>25.205191081585369</v>
      </c>
      <c r="N59" s="33">
        <f t="shared" si="24"/>
        <v>24.533426339550676</v>
      </c>
      <c r="O59" s="33">
        <f t="shared" si="48"/>
        <v>93.95819004976012</v>
      </c>
      <c r="P59" s="52">
        <f t="shared" si="49"/>
        <v>0.99130726442167827</v>
      </c>
      <c r="Q59" s="53">
        <f t="shared" si="50"/>
        <v>18.34617678174909</v>
      </c>
      <c r="R59" s="82">
        <f t="shared" si="51"/>
        <v>4.6746232852669447E-6</v>
      </c>
      <c r="S59" s="6">
        <f t="shared" si="52"/>
        <v>17.017596670435942</v>
      </c>
      <c r="T59" s="9">
        <f t="shared" si="53"/>
        <v>8.651350419551378E-5</v>
      </c>
      <c r="U59" s="60">
        <f t="shared" si="54"/>
        <v>61.473240662903805</v>
      </c>
      <c r="V59" s="58">
        <f t="shared" si="55"/>
        <v>7.6710042087313468E-6</v>
      </c>
      <c r="W59" s="61">
        <f t="shared" si="56"/>
        <v>4.7156148784949003E-4</v>
      </c>
      <c r="X59" s="60">
        <f t="shared" si="57"/>
        <v>61.019997099627354</v>
      </c>
      <c r="Y59" s="58">
        <f t="shared" si="37"/>
        <v>5.6585945579223917E-6</v>
      </c>
      <c r="Z59" s="61">
        <f t="shared" si="38"/>
        <v>3.4528742351239145E-4</v>
      </c>
      <c r="AB59" s="25">
        <f t="shared" si="39"/>
        <v>19.560799111458987</v>
      </c>
      <c r="AC59" s="76">
        <f t="shared" si="34"/>
        <v>19.039467806071592</v>
      </c>
      <c r="AD59" s="33">
        <f t="shared" si="28"/>
        <v>93.95819004976012</v>
      </c>
      <c r="AE59" s="52">
        <f t="shared" si="58"/>
        <v>0.99130726442167827</v>
      </c>
      <c r="AF59" s="53">
        <f t="shared" si="59"/>
        <v>18.346176781749101</v>
      </c>
      <c r="AG59" s="82">
        <f t="shared" si="60"/>
        <v>7.0909133609479256E-5</v>
      </c>
      <c r="AH59" s="6">
        <f t="shared" si="61"/>
        <v>25.956829140755815</v>
      </c>
      <c r="AI59" s="9">
        <f t="shared" si="40"/>
        <v>1.3123191439529259E-3</v>
      </c>
      <c r="AJ59" s="60">
        <f t="shared" si="62"/>
        <v>65.95312822666115</v>
      </c>
      <c r="AK59" s="58">
        <f t="shared" si="63"/>
        <v>1.0845722563868065E-4</v>
      </c>
      <c r="AL59" s="61">
        <f t="shared" si="64"/>
        <v>7.1530933096558263E-3</v>
      </c>
      <c r="AN59" s="166">
        <f t="shared" si="65"/>
        <v>2.5609852551811981E-4</v>
      </c>
      <c r="AO59" s="167">
        <f t="shared" si="66"/>
        <v>1.4594049320062457</v>
      </c>
      <c r="AP59" s="299">
        <f t="shared" si="67"/>
        <v>0</v>
      </c>
      <c r="AQ59" s="168">
        <f t="shared" si="41"/>
        <v>0</v>
      </c>
      <c r="AR59" s="168">
        <f t="shared" si="68"/>
        <v>0</v>
      </c>
      <c r="AS59" s="169">
        <f t="shared" si="42"/>
        <v>0</v>
      </c>
      <c r="AT59" s="168">
        <f t="shared" si="69"/>
        <v>17.098851031332003</v>
      </c>
      <c r="AU59" s="170">
        <f t="shared" si="43"/>
        <v>0</v>
      </c>
    </row>
    <row r="60" spans="2:47" x14ac:dyDescent="0.2">
      <c r="B60" s="34">
        <f>IF(AND((G60-B$6)*(G59-B$6)&lt;=0,ISNUMBER(SWeRF!C61)),(F59+(B$6-G59)*(F60-F59)/(G60-G59)),0)</f>
        <v>0</v>
      </c>
      <c r="C60" s="34">
        <f>IF(AND((G60-C$6)*(G59-C$6)&lt;=0,ISNUMBER(SWeRF!C61)),(F59+(C$6-G59)*(F60-F59)/(G60-G59)),0)</f>
        <v>0</v>
      </c>
      <c r="D60" s="322">
        <f>IF(AND((G60-D$6)*(G59-D$6)&lt;=0,ISNUMBER(SWeRF!C61)),(F59+(D$6-G59)*(F60-F59)/(G60-G59)),0)</f>
        <v>0</v>
      </c>
      <c r="E60" s="34">
        <f>IF(AND((G60-E$6)*(G59-E$6)&lt;=0,ISNUMBER(SWeRF!C61)),(F59+(E$6-G59)*(F60-F59)/(G60-G59)),0)</f>
        <v>0</v>
      </c>
      <c r="F60" s="100">
        <f>IF(ISNUMBER(SWeRF!C61),SWeRF!C61,F59)</f>
        <v>12.680582704116688</v>
      </c>
      <c r="G60" s="32">
        <f>IF(ISNUMBER(SWeRF!D61),SWeRF!D61,G59)</f>
        <v>94.833557559184456</v>
      </c>
      <c r="H60" s="76">
        <f t="shared" si="20"/>
        <v>12.3438726757343</v>
      </c>
      <c r="I60" s="35">
        <f t="shared" si="44"/>
        <v>0.87536750942433628</v>
      </c>
      <c r="J60" s="35">
        <f t="shared" si="45"/>
        <v>7.0915144089677945E-2</v>
      </c>
      <c r="K60" s="36">
        <f t="shared" si="46"/>
        <v>16.261491691457081</v>
      </c>
      <c r="L60" s="144"/>
      <c r="M60" s="25">
        <f t="shared" si="47"/>
        <v>26.599014680061941</v>
      </c>
      <c r="N60" s="33">
        <f t="shared" si="24"/>
        <v>25.892725765991798</v>
      </c>
      <c r="O60" s="33">
        <f t="shared" si="48"/>
        <v>94.833557559184456</v>
      </c>
      <c r="P60" s="52">
        <f t="shared" si="49"/>
        <v>0.87536750942433628</v>
      </c>
      <c r="Q60" s="53">
        <f t="shared" si="50"/>
        <v>16.261491691457071</v>
      </c>
      <c r="R60" s="82">
        <f t="shared" si="51"/>
        <v>2.2064928059795784E-6</v>
      </c>
      <c r="S60" s="6">
        <f t="shared" si="52"/>
        <v>17.017598876928748</v>
      </c>
      <c r="T60" s="9">
        <f t="shared" si="53"/>
        <v>4.098948618197275E-5</v>
      </c>
      <c r="U60" s="60">
        <f t="shared" si="54"/>
        <v>60.574648223572368</v>
      </c>
      <c r="V60" s="58">
        <f t="shared" si="55"/>
        <v>4.1612249329636697E-6</v>
      </c>
      <c r="W60" s="61">
        <f t="shared" si="56"/>
        <v>2.5206473649343279E-4</v>
      </c>
      <c r="X60" s="60">
        <f t="shared" si="57"/>
        <v>60.135885277403524</v>
      </c>
      <c r="Y60" s="58">
        <f t="shared" si="37"/>
        <v>3.047165016978326E-6</v>
      </c>
      <c r="Z60" s="61">
        <f t="shared" si="38"/>
        <v>1.8324396588232598E-4</v>
      </c>
      <c r="AB60" s="25">
        <f t="shared" si="39"/>
        <v>20.642493089432044</v>
      </c>
      <c r="AC60" s="76">
        <f t="shared" si="34"/>
        <v>20.09436887493759</v>
      </c>
      <c r="AD60" s="33">
        <f t="shared" si="28"/>
        <v>94.833557559184456</v>
      </c>
      <c r="AE60" s="52">
        <f t="shared" si="58"/>
        <v>0.87536750942433628</v>
      </c>
      <c r="AF60" s="53">
        <f t="shared" si="59"/>
        <v>16.261491691457081</v>
      </c>
      <c r="AG60" s="82">
        <f t="shared" si="60"/>
        <v>3.622721551353784E-5</v>
      </c>
      <c r="AH60" s="6">
        <f t="shared" si="61"/>
        <v>25.956865367971329</v>
      </c>
      <c r="AI60" s="9">
        <f t="shared" si="40"/>
        <v>6.7298426973310137E-4</v>
      </c>
      <c r="AJ60" s="60">
        <f t="shared" si="62"/>
        <v>64.974681469120171</v>
      </c>
      <c r="AK60" s="58">
        <f t="shared" si="63"/>
        <v>6.36942711700339E-5</v>
      </c>
      <c r="AL60" s="61">
        <f t="shared" si="64"/>
        <v>4.1385149806807166E-3</v>
      </c>
      <c r="AN60" s="166">
        <f t="shared" si="65"/>
        <v>2.8526350190264749E-4</v>
      </c>
      <c r="AO60" s="167">
        <f t="shared" si="66"/>
        <v>1.625604679901373</v>
      </c>
      <c r="AP60" s="299">
        <f t="shared" si="67"/>
        <v>0</v>
      </c>
      <c r="AQ60" s="168">
        <f t="shared" si="41"/>
        <v>0</v>
      </c>
      <c r="AR60" s="168">
        <f t="shared" si="68"/>
        <v>0</v>
      </c>
      <c r="AS60" s="169">
        <f t="shared" si="42"/>
        <v>0</v>
      </c>
      <c r="AT60" s="168">
        <f t="shared" si="69"/>
        <v>17.098851031332003</v>
      </c>
      <c r="AU60" s="170">
        <f t="shared" si="43"/>
        <v>0</v>
      </c>
    </row>
    <row r="61" spans="2:47" x14ac:dyDescent="0.2">
      <c r="B61" s="34">
        <f>IF(AND((G61-B$6)*(G60-B$6)&lt;=0,ISNUMBER(SWeRF!C62)),(F60+(B$6-G60)*(F61-F60)/(G61-G60)),0)</f>
        <v>0</v>
      </c>
      <c r="C61" s="34">
        <f>IF(AND((G61-C$6)*(G60-C$6)&lt;=0,ISNUMBER(SWeRF!C62)),(F60+(C$6-G60)*(F61-F60)/(G61-G60)),0)</f>
        <v>0</v>
      </c>
      <c r="D61" s="322">
        <f>IF(AND((G61-D$6)*(G60-D$6)&lt;=0,ISNUMBER(SWeRF!C62)),(F60+(D$6-G60)*(F61-F60)/(G61-G60)),0)</f>
        <v>0</v>
      </c>
      <c r="E61" s="34">
        <f>IF(AND((G61-E$6)*(G60-E$6)&lt;=0,ISNUMBER(SWeRF!C62)),(F60+(E$6-G60)*(F61-F60)/(G61-G60)),0)</f>
        <v>0</v>
      </c>
      <c r="F61" s="100">
        <f>IF(ISNUMBER(SWeRF!C62),SWeRF!C62,F60)</f>
        <v>13.379246706296559</v>
      </c>
      <c r="G61" s="32">
        <f>IF(ISNUMBER(SWeRF!D62),SWeRF!D62,G60)</f>
        <v>95.602398098876421</v>
      </c>
      <c r="H61" s="76">
        <f t="shared" si="20"/>
        <v>13.025231068122144</v>
      </c>
      <c r="I61" s="35">
        <f t="shared" si="44"/>
        <v>0.76884053969196486</v>
      </c>
      <c r="J61" s="35">
        <f t="shared" si="45"/>
        <v>5.9027017307479453E-2</v>
      </c>
      <c r="K61" s="36">
        <f t="shared" si="46"/>
        <v>14.333536081410109</v>
      </c>
      <c r="L61" s="144"/>
      <c r="M61" s="25">
        <f t="shared" si="47"/>
        <v>28.064544654830378</v>
      </c>
      <c r="N61" s="33">
        <f t="shared" si="24"/>
        <v>27.32195518741452</v>
      </c>
      <c r="O61" s="33">
        <f t="shared" si="48"/>
        <v>95.602398098876421</v>
      </c>
      <c r="P61" s="52">
        <f t="shared" si="49"/>
        <v>0.76884053969196486</v>
      </c>
      <c r="Q61" s="53">
        <f t="shared" si="50"/>
        <v>14.333536081410125</v>
      </c>
      <c r="R61" s="82">
        <f t="shared" si="51"/>
        <v>1.0211125050790009E-6</v>
      </c>
      <c r="S61" s="6">
        <f t="shared" si="52"/>
        <v>17.017599898041254</v>
      </c>
      <c r="T61" s="9">
        <f t="shared" si="53"/>
        <v>1.9036656080326984E-5</v>
      </c>
      <c r="U61" s="60">
        <f t="shared" si="54"/>
        <v>59.705625774916136</v>
      </c>
      <c r="V61" s="58">
        <f t="shared" si="55"/>
        <v>2.2244470140320161E-6</v>
      </c>
      <c r="W61" s="61">
        <f t="shared" si="56"/>
        <v>1.3281200097592518E-4</v>
      </c>
      <c r="X61" s="60">
        <f t="shared" si="57"/>
        <v>59.28268025926031</v>
      </c>
      <c r="Y61" s="58">
        <f t="shared" si="37"/>
        <v>1.6170369149248742E-6</v>
      </c>
      <c r="Z61" s="61">
        <f t="shared" si="38"/>
        <v>9.5862282394912032E-5</v>
      </c>
      <c r="AB61" s="25">
        <f t="shared" si="39"/>
        <v>21.779835684275959</v>
      </c>
      <c r="AC61" s="76">
        <f t="shared" si="34"/>
        <v>21.203539978070452</v>
      </c>
      <c r="AD61" s="33">
        <f t="shared" si="28"/>
        <v>95.602398098876421</v>
      </c>
      <c r="AE61" s="52">
        <f t="shared" si="58"/>
        <v>0.76884053969196486</v>
      </c>
      <c r="AF61" s="53">
        <f t="shared" si="59"/>
        <v>14.333536081410097</v>
      </c>
      <c r="AG61" s="82">
        <f t="shared" si="60"/>
        <v>1.8139093596026885E-5</v>
      </c>
      <c r="AH61" s="6">
        <f t="shared" si="61"/>
        <v>25.956883507064923</v>
      </c>
      <c r="AI61" s="9">
        <f t="shared" si="40"/>
        <v>3.3816811044705582E-4</v>
      </c>
      <c r="AJ61" s="60">
        <f t="shared" si="62"/>
        <v>64.010549852783797</v>
      </c>
      <c r="AK61" s="58">
        <f t="shared" si="63"/>
        <v>3.6857659110656193E-5</v>
      </c>
      <c r="AL61" s="61">
        <f t="shared" si="64"/>
        <v>2.3592790259595693E-3</v>
      </c>
      <c r="AN61" s="166">
        <f t="shared" si="65"/>
        <v>3.1762466158763149E-4</v>
      </c>
      <c r="AO61" s="167">
        <f t="shared" si="66"/>
        <v>1.8100182213466391</v>
      </c>
      <c r="AP61" s="299">
        <f t="shared" si="67"/>
        <v>0</v>
      </c>
      <c r="AQ61" s="168">
        <f t="shared" si="41"/>
        <v>0</v>
      </c>
      <c r="AR61" s="168">
        <f t="shared" si="68"/>
        <v>0</v>
      </c>
      <c r="AS61" s="169">
        <f t="shared" si="42"/>
        <v>0</v>
      </c>
      <c r="AT61" s="168">
        <f t="shared" si="69"/>
        <v>17.098851031332003</v>
      </c>
      <c r="AU61" s="170">
        <f t="shared" si="43"/>
        <v>0</v>
      </c>
    </row>
    <row r="62" spans="2:47" x14ac:dyDescent="0.2">
      <c r="B62" s="34">
        <f>IF(AND((G62-B$6)*(G61-B$6)&lt;=0,ISNUMBER(SWeRF!C63)),(F61+(B$6-G61)*(F62-F61)/(G62-G61)),0)</f>
        <v>0</v>
      </c>
      <c r="C62" s="34">
        <f>IF(AND((G62-C$6)*(G61-C$6)&lt;=0,ISNUMBER(SWeRF!C63)),(F61+(C$6-G61)*(F62-F61)/(G62-G61)),0)</f>
        <v>0</v>
      </c>
      <c r="D62" s="322">
        <f>IF(AND((G62-D$6)*(G61-D$6)&lt;=0,ISNUMBER(SWeRF!C63)),(F61+(D$6-G61)*(F62-F61)/(G62-G61)),0)</f>
        <v>0</v>
      </c>
      <c r="E62" s="34">
        <f>IF(AND((G62-E$6)*(G61-E$6)&lt;=0,ISNUMBER(SWeRF!C63)),(F61+(E$6-G61)*(F62-F61)/(G62-G61)),0)</f>
        <v>0</v>
      </c>
      <c r="F62" s="100">
        <f>IF(ISNUMBER(SWeRF!C63),SWeRF!C63,F61)</f>
        <v>14.113854040112276</v>
      </c>
      <c r="G62" s="32">
        <f>IF(ISNUMBER(SWeRF!D63),SWeRF!D63,G61)</f>
        <v>96.274070937877028</v>
      </c>
      <c r="H62" s="76">
        <f t="shared" si="20"/>
        <v>13.741642375615898</v>
      </c>
      <c r="I62" s="35">
        <f t="shared" si="44"/>
        <v>0.67167283900060681</v>
      </c>
      <c r="J62" s="35">
        <f t="shared" si="45"/>
        <v>4.8878643515892148E-2</v>
      </c>
      <c r="K62" s="36">
        <f t="shared" si="46"/>
        <v>12.564383068460323</v>
      </c>
      <c r="L62" s="144"/>
      <c r="M62" s="25">
        <f t="shared" si="47"/>
        <v>29.605469998103594</v>
      </c>
      <c r="N62" s="33">
        <f t="shared" si="24"/>
        <v>28.824712223871714</v>
      </c>
      <c r="O62" s="33">
        <f t="shared" si="48"/>
        <v>96.274070937877028</v>
      </c>
      <c r="P62" s="52">
        <f t="shared" si="49"/>
        <v>0.67167283900060681</v>
      </c>
      <c r="Q62" s="53">
        <f t="shared" si="50"/>
        <v>12.564383068460327</v>
      </c>
      <c r="R62" s="82">
        <f t="shared" si="51"/>
        <v>4.6334762031924039E-7</v>
      </c>
      <c r="S62" s="6">
        <f t="shared" si="52"/>
        <v>17.017600361388876</v>
      </c>
      <c r="T62" s="9">
        <f t="shared" si="53"/>
        <v>8.6674295244878683E-6</v>
      </c>
      <c r="U62" s="60">
        <f t="shared" si="54"/>
        <v>58.868806849487207</v>
      </c>
      <c r="V62" s="58">
        <f t="shared" si="55"/>
        <v>1.1718281229811112E-6</v>
      </c>
      <c r="W62" s="61">
        <f t="shared" si="56"/>
        <v>6.8984123432572176E-5</v>
      </c>
      <c r="X62" s="60">
        <f t="shared" si="57"/>
        <v>58.462924551455394</v>
      </c>
      <c r="Y62" s="58">
        <f t="shared" si="37"/>
        <v>8.4564637736761483E-7</v>
      </c>
      <c r="Z62" s="61">
        <f t="shared" si="38"/>
        <v>4.9438960357254444E-5</v>
      </c>
      <c r="AB62" s="25">
        <f t="shared" si="39"/>
        <v>22.975689783852477</v>
      </c>
      <c r="AC62" s="76">
        <f t="shared" si="34"/>
        <v>22.369773092841257</v>
      </c>
      <c r="AD62" s="33">
        <f t="shared" si="28"/>
        <v>96.274070937877028</v>
      </c>
      <c r="AE62" s="52">
        <f t="shared" si="58"/>
        <v>0.67167283900060681</v>
      </c>
      <c r="AF62" s="53">
        <f t="shared" si="59"/>
        <v>12.564383068460321</v>
      </c>
      <c r="AG62" s="82">
        <f t="shared" si="60"/>
        <v>8.9020039636266516E-6</v>
      </c>
      <c r="AH62" s="6">
        <f t="shared" si="61"/>
        <v>25.956892409068885</v>
      </c>
      <c r="AI62" s="9">
        <f t="shared" si="40"/>
        <v>1.6652182637365263E-4</v>
      </c>
      <c r="AJ62" s="60">
        <f t="shared" si="62"/>
        <v>63.063689919051733</v>
      </c>
      <c r="AK62" s="58">
        <f t="shared" si="63"/>
        <v>2.101602703419303E-5</v>
      </c>
      <c r="AL62" s="61">
        <f t="shared" si="64"/>
        <v>1.3253482122147578E-3</v>
      </c>
      <c r="AN62" s="166">
        <f t="shared" si="65"/>
        <v>3.535254031924364E-4</v>
      </c>
      <c r="AO62" s="167">
        <f t="shared" si="66"/>
        <v>2.0146024502278284</v>
      </c>
      <c r="AP62" s="299">
        <f t="shared" si="67"/>
        <v>0</v>
      </c>
      <c r="AQ62" s="168">
        <f t="shared" si="41"/>
        <v>0</v>
      </c>
      <c r="AR62" s="168">
        <f t="shared" si="68"/>
        <v>0</v>
      </c>
      <c r="AS62" s="169">
        <f t="shared" si="42"/>
        <v>0</v>
      </c>
      <c r="AT62" s="168">
        <f t="shared" si="69"/>
        <v>17.098851031332003</v>
      </c>
      <c r="AU62" s="170">
        <f t="shared" si="43"/>
        <v>0</v>
      </c>
    </row>
    <row r="63" spans="2:47" x14ac:dyDescent="0.2">
      <c r="B63" s="34">
        <f>IF(AND((G63-B$6)*(G62-B$6)&lt;=0,ISNUMBER(SWeRF!C64)),(F62+(B$6-G62)*(F63-F62)/(G63-G62)),0)</f>
        <v>0</v>
      </c>
      <c r="C63" s="34">
        <f>IF(AND((G63-C$6)*(G62-C$6)&lt;=0,ISNUMBER(SWeRF!C64)),(F62+(C$6-G62)*(F63-F62)/(G63-G62)),0)</f>
        <v>0</v>
      </c>
      <c r="D63" s="322">
        <f>IF(AND((G63-D$6)*(G62-D$6)&lt;=0,ISNUMBER(SWeRF!C64)),(F62+(D$6-G62)*(F63-F62)/(G63-G62)),0)</f>
        <v>0</v>
      </c>
      <c r="E63" s="34">
        <f>IF(AND((G63-E$6)*(G62-E$6)&lt;=0,ISNUMBER(SWeRF!C64)),(F62+(E$6-G62)*(F63-F62)/(G63-G62)),0)</f>
        <v>0</v>
      </c>
      <c r="F63" s="100">
        <f>IF(ISNUMBER(SWeRF!C64),SWeRF!C64,F62)</f>
        <v>14.886253839174621</v>
      </c>
      <c r="G63" s="32">
        <f>IF(ISNUMBER(SWeRF!D64),SWeRF!D64,G62)</f>
        <v>96.857738753749842</v>
      </c>
      <c r="H63" s="76">
        <f t="shared" si="20"/>
        <v>14.494909930391827</v>
      </c>
      <c r="I63" s="35">
        <f t="shared" si="44"/>
        <v>0.5836678158728148</v>
      </c>
      <c r="J63" s="35">
        <f t="shared" si="45"/>
        <v>4.0267088148579967E-2</v>
      </c>
      <c r="K63" s="36">
        <f t="shared" si="46"/>
        <v>10.953152021291626</v>
      </c>
      <c r="L63" s="144"/>
      <c r="M63" s="25">
        <f t="shared" si="47"/>
        <v>31.225669485266465</v>
      </c>
      <c r="N63" s="33">
        <f t="shared" si="24"/>
        <v>30.404779576848689</v>
      </c>
      <c r="O63" s="33">
        <f t="shared" si="48"/>
        <v>96.857738753749842</v>
      </c>
      <c r="P63" s="52">
        <f t="shared" si="49"/>
        <v>0.5836678158728148</v>
      </c>
      <c r="Q63" s="53">
        <f t="shared" si="50"/>
        <v>10.953152021291615</v>
      </c>
      <c r="R63" s="82">
        <f t="shared" si="51"/>
        <v>2.0618011041218176E-7</v>
      </c>
      <c r="S63" s="6">
        <f t="shared" si="52"/>
        <v>17.017600567568987</v>
      </c>
      <c r="T63" s="9">
        <f t="shared" si="53"/>
        <v>3.8691907137868003E-6</v>
      </c>
      <c r="U63" s="60">
        <f t="shared" si="54"/>
        <v>58.066633483071314</v>
      </c>
      <c r="V63" s="58">
        <f t="shared" si="55"/>
        <v>6.0835120641034024E-7</v>
      </c>
      <c r="W63" s="61">
        <f t="shared" si="56"/>
        <v>3.5324906531613491E-5</v>
      </c>
      <c r="X63" s="60">
        <f t="shared" si="57"/>
        <v>57.678950132457572</v>
      </c>
      <c r="Y63" s="58">
        <f t="shared" si="37"/>
        <v>4.3582234732220115E-7</v>
      </c>
      <c r="Z63" s="61">
        <f t="shared" si="38"/>
        <v>2.5137775437807844E-5</v>
      </c>
      <c r="AB63" s="25">
        <f t="shared" si="39"/>
        <v>24.233065559592415</v>
      </c>
      <c r="AC63" s="76">
        <f t="shared" si="34"/>
        <v>23.596003831347264</v>
      </c>
      <c r="AD63" s="33">
        <f t="shared" si="28"/>
        <v>96.857738753749842</v>
      </c>
      <c r="AE63" s="52">
        <f t="shared" si="58"/>
        <v>0.5836678158728148</v>
      </c>
      <c r="AF63" s="53">
        <f t="shared" si="59"/>
        <v>10.953152021291629</v>
      </c>
      <c r="AG63" s="82">
        <f t="shared" si="60"/>
        <v>4.2824674517975872E-6</v>
      </c>
      <c r="AH63" s="6">
        <f t="shared" si="61"/>
        <v>25.956896691536336</v>
      </c>
      <c r="AI63" s="9">
        <f t="shared" si="40"/>
        <v>8.036509081047838E-5</v>
      </c>
      <c r="AJ63" s="60">
        <f t="shared" si="62"/>
        <v>62.137050216007871</v>
      </c>
      <c r="AK63" s="58">
        <f t="shared" si="63"/>
        <v>1.1808036635474473E-5</v>
      </c>
      <c r="AL63" s="61">
        <f t="shared" si="64"/>
        <v>7.3371656537093793E-4</v>
      </c>
      <c r="AN63" s="166">
        <f t="shared" si="65"/>
        <v>3.9334567977152533E-4</v>
      </c>
      <c r="AO63" s="167">
        <f t="shared" si="66"/>
        <v>2.2415225698021342</v>
      </c>
      <c r="AP63" s="299">
        <f t="shared" si="67"/>
        <v>0</v>
      </c>
      <c r="AQ63" s="168">
        <f t="shared" si="41"/>
        <v>0</v>
      </c>
      <c r="AR63" s="168">
        <f t="shared" si="68"/>
        <v>0</v>
      </c>
      <c r="AS63" s="169">
        <f t="shared" si="42"/>
        <v>0</v>
      </c>
      <c r="AT63" s="168">
        <f t="shared" si="69"/>
        <v>17.098851031332003</v>
      </c>
      <c r="AU63" s="170">
        <f t="shared" si="43"/>
        <v>0</v>
      </c>
    </row>
    <row r="64" spans="2:47" x14ac:dyDescent="0.2">
      <c r="B64" s="34">
        <f>IF(AND((G64-B$6)*(G63-B$6)&lt;=0,ISNUMBER(SWeRF!C65)),(F63+(B$6-G63)*(F64-F63)/(G64-G63)),0)</f>
        <v>0</v>
      </c>
      <c r="C64" s="34">
        <f>IF(AND((G64-C$6)*(G63-C$6)&lt;=0,ISNUMBER(SWeRF!C65)),(F63+(C$6-G63)*(F64-F63)/(G64-G63)),0)</f>
        <v>0</v>
      </c>
      <c r="D64" s="322">
        <f>IF(AND((G64-D$6)*(G63-D$6)&lt;=0,ISNUMBER(SWeRF!C65)),(F63+(D$6-G63)*(F64-F63)/(G64-G63)),0)</f>
        <v>0</v>
      </c>
      <c r="E64" s="34">
        <f>IF(AND((G64-E$6)*(G63-E$6)&lt;=0,ISNUMBER(SWeRF!C65)),(F63+(E$6-G63)*(F64-F63)/(G64-G63)),0)</f>
        <v>0</v>
      </c>
      <c r="F64" s="100">
        <f>IF(ISNUMBER(SWeRF!C65),SWeRF!C65,F63)</f>
        <v>15.698390367260549</v>
      </c>
      <c r="G64" s="32">
        <f>IF(ISNUMBER(SWeRF!D65),SWeRF!D65,G63)</f>
        <v>97.362248882010022</v>
      </c>
      <c r="H64" s="76">
        <f t="shared" si="20"/>
        <v>15.286929838051009</v>
      </c>
      <c r="I64" s="35">
        <f t="shared" si="44"/>
        <v>0.50451012826017916</v>
      </c>
      <c r="J64" s="35">
        <f t="shared" si="45"/>
        <v>3.3002711048257229E-2</v>
      </c>
      <c r="K64" s="36">
        <f t="shared" si="46"/>
        <v>9.4964463074655185</v>
      </c>
      <c r="L64" s="144"/>
      <c r="M64" s="25">
        <f t="shared" si="47"/>
        <v>32.92922143842388</v>
      </c>
      <c r="N64" s="33">
        <f t="shared" si="24"/>
        <v>32.066134551008403</v>
      </c>
      <c r="O64" s="33">
        <f t="shared" si="48"/>
        <v>97.362248882010022</v>
      </c>
      <c r="P64" s="52">
        <f t="shared" si="49"/>
        <v>0.50451012826017916</v>
      </c>
      <c r="Q64" s="53">
        <f t="shared" si="50"/>
        <v>9.4964463074655203</v>
      </c>
      <c r="R64" s="82">
        <f t="shared" si="51"/>
        <v>8.9977565735218918E-8</v>
      </c>
      <c r="S64" s="6">
        <f t="shared" si="52"/>
        <v>17.017600657546552</v>
      </c>
      <c r="T64" s="9">
        <f t="shared" si="53"/>
        <v>1.6936570229573299E-6</v>
      </c>
      <c r="U64" s="60">
        <f t="shared" si="54"/>
        <v>57.301318383793131</v>
      </c>
      <c r="V64" s="58">
        <f t="shared" si="55"/>
        <v>3.1124310262420352E-7</v>
      </c>
      <c r="W64" s="61">
        <f t="shared" si="56"/>
        <v>1.7834640118229086E-5</v>
      </c>
      <c r="X64" s="60">
        <f t="shared" si="57"/>
        <v>56.932841230310629</v>
      </c>
      <c r="Y64" s="58">
        <f t="shared" si="37"/>
        <v>2.2135417487856301E-7</v>
      </c>
      <c r="Z64" s="61">
        <f t="shared" si="38"/>
        <v>1.2602322094027642E-5</v>
      </c>
      <c r="AB64" s="25">
        <f t="shared" si="39"/>
        <v>25.555128043617426</v>
      </c>
      <c r="AC64" s="76">
        <f t="shared" si="34"/>
        <v>24.885318829879591</v>
      </c>
      <c r="AD64" s="33">
        <f t="shared" si="28"/>
        <v>97.362248882010022</v>
      </c>
      <c r="AE64" s="52">
        <f t="shared" si="58"/>
        <v>0.50451012826017916</v>
      </c>
      <c r="AF64" s="53">
        <f t="shared" si="59"/>
        <v>9.4964463074655168</v>
      </c>
      <c r="AG64" s="82">
        <f t="shared" si="60"/>
        <v>2.0196481960144894E-6</v>
      </c>
      <c r="AH64" s="6">
        <f t="shared" si="61"/>
        <v>25.956898711184532</v>
      </c>
      <c r="AI64" s="9">
        <f t="shared" si="40"/>
        <v>3.8016046812701864E-5</v>
      </c>
      <c r="AJ64" s="60">
        <f t="shared" si="62"/>
        <v>61.233539207903867</v>
      </c>
      <c r="AK64" s="58">
        <f t="shared" si="63"/>
        <v>6.5375718496518687E-6</v>
      </c>
      <c r="AL64" s="61">
        <f t="shared" si="64"/>
        <v>4.0031866218014631E-4</v>
      </c>
      <c r="AN64" s="166">
        <f t="shared" si="65"/>
        <v>4.3750587279558871E-4</v>
      </c>
      <c r="AO64" s="167">
        <f t="shared" si="66"/>
        <v>2.4931741689953753</v>
      </c>
      <c r="AP64" s="299">
        <f t="shared" si="67"/>
        <v>0</v>
      </c>
      <c r="AQ64" s="168">
        <f t="shared" si="41"/>
        <v>0</v>
      </c>
      <c r="AR64" s="168">
        <f t="shared" si="68"/>
        <v>0</v>
      </c>
      <c r="AS64" s="169">
        <f t="shared" si="42"/>
        <v>0</v>
      </c>
      <c r="AT64" s="168">
        <f t="shared" si="69"/>
        <v>17.098851031332003</v>
      </c>
      <c r="AU64" s="170">
        <f t="shared" si="43"/>
        <v>0</v>
      </c>
    </row>
    <row r="65" spans="2:47" x14ac:dyDescent="0.2">
      <c r="B65" s="34">
        <f>IF(AND((G65-B$6)*(G64-B$6)&lt;=0,ISNUMBER(SWeRF!C66)),(F64+(B$6-G64)*(F65-F64)/(G65-G64)),0)</f>
        <v>0</v>
      </c>
      <c r="C65" s="34">
        <f>IF(AND((G65-C$6)*(G64-C$6)&lt;=0,ISNUMBER(SWeRF!C66)),(F64+(C$6-G64)*(F65-F64)/(G65-G64)),0)</f>
        <v>0</v>
      </c>
      <c r="D65" s="322">
        <f>IF(AND((G65-D$6)*(G64-D$6)&lt;=0,ISNUMBER(SWeRF!C66)),(F64+(D$6-G64)*(F65-F64)/(G65-G64)),0)</f>
        <v>0</v>
      </c>
      <c r="E65" s="34">
        <f>IF(AND((G65-E$6)*(G64-E$6)&lt;=0,ISNUMBER(SWeRF!C66)),(F64+(E$6-G64)*(F65-F64)/(G65-G64)),0)</f>
        <v>0</v>
      </c>
      <c r="F65" s="100">
        <f>IF(ISNUMBER(SWeRF!C66),SWeRF!C66,F64)</f>
        <v>16.552307912361083</v>
      </c>
      <c r="G65" s="32">
        <f>IF(ISNUMBER(SWeRF!D66),SWeRF!D66,G64)</f>
        <v>97.796038336658583</v>
      </c>
      <c r="H65" s="76">
        <f t="shared" si="20"/>
        <v>16.119695750458188</v>
      </c>
      <c r="I65" s="35">
        <f t="shared" si="44"/>
        <v>0.43378945464856145</v>
      </c>
      <c r="J65" s="35">
        <f t="shared" si="45"/>
        <v>2.6910523707386436E-2</v>
      </c>
      <c r="K65" s="36">
        <f t="shared" si="46"/>
        <v>8.1887930149845261</v>
      </c>
      <c r="L65" s="144"/>
      <c r="M65" s="25">
        <f t="shared" si="47"/>
        <v>34.720413992242229</v>
      </c>
      <c r="N65" s="33">
        <f t="shared" si="24"/>
        <v>33.812959065782678</v>
      </c>
      <c r="O65" s="33">
        <f t="shared" si="48"/>
        <v>97.796038336658583</v>
      </c>
      <c r="P65" s="52">
        <f t="shared" si="49"/>
        <v>0.43378945464856145</v>
      </c>
      <c r="Q65" s="53">
        <f t="shared" si="50"/>
        <v>8.1887930149845349</v>
      </c>
      <c r="R65" s="82">
        <f t="shared" si="51"/>
        <v>3.851298390746853E-8</v>
      </c>
      <c r="S65" s="6">
        <f t="shared" si="52"/>
        <v>17.017600696059535</v>
      </c>
      <c r="T65" s="9">
        <f t="shared" si="53"/>
        <v>7.2702286841710712E-7</v>
      </c>
      <c r="U65" s="60">
        <f t="shared" si="54"/>
        <v>56.574808561256162</v>
      </c>
      <c r="V65" s="58">
        <f t="shared" si="55"/>
        <v>1.569296784742491E-7</v>
      </c>
      <c r="W65" s="61">
        <f t="shared" si="56"/>
        <v>8.8782665172601253E-6</v>
      </c>
      <c r="X65" s="60">
        <f t="shared" si="57"/>
        <v>56.226399061249296</v>
      </c>
      <c r="Y65" s="58">
        <f t="shared" si="37"/>
        <v>1.1079699158145218E-7</v>
      </c>
      <c r="Z65" s="61">
        <f t="shared" si="38"/>
        <v>6.2297158634446087E-6</v>
      </c>
      <c r="AB65" s="25">
        <f t="shared" si="39"/>
        <v>26.945205095672772</v>
      </c>
      <c r="AC65" s="76">
        <f t="shared" si="34"/>
        <v>26.240963518541967</v>
      </c>
      <c r="AD65" s="33">
        <f t="shared" si="28"/>
        <v>97.796038336658583</v>
      </c>
      <c r="AE65" s="52">
        <f t="shared" si="58"/>
        <v>0.43378945464856145</v>
      </c>
      <c r="AF65" s="53">
        <f t="shared" si="59"/>
        <v>8.1887930149845367</v>
      </c>
      <c r="AG65" s="82">
        <f t="shared" si="60"/>
        <v>9.338405369974707E-7</v>
      </c>
      <c r="AH65" s="6">
        <f t="shared" si="61"/>
        <v>25.956899645025068</v>
      </c>
      <c r="AI65" s="9">
        <f t="shared" si="40"/>
        <v>1.7628429609174334E-5</v>
      </c>
      <c r="AJ65" s="60">
        <f t="shared" si="62"/>
        <v>60.355991015411036</v>
      </c>
      <c r="AK65" s="58">
        <f t="shared" si="63"/>
        <v>3.5667555595697564E-6</v>
      </c>
      <c r="AL65" s="61">
        <f t="shared" si="64"/>
        <v>2.1527506650755959E-4</v>
      </c>
      <c r="AN65" s="166">
        <f t="shared" si="65"/>
        <v>4.8647107581368409E-4</v>
      </c>
      <c r="AO65" s="167">
        <f t="shared" si="66"/>
        <v>2.7722076333104186</v>
      </c>
      <c r="AP65" s="299">
        <f t="shared" si="67"/>
        <v>0</v>
      </c>
      <c r="AQ65" s="168">
        <f t="shared" si="41"/>
        <v>0</v>
      </c>
      <c r="AR65" s="168">
        <f t="shared" si="68"/>
        <v>0</v>
      </c>
      <c r="AS65" s="169">
        <f t="shared" si="42"/>
        <v>0</v>
      </c>
      <c r="AT65" s="168">
        <f t="shared" si="69"/>
        <v>17.098851031332003</v>
      </c>
      <c r="AU65" s="170">
        <f t="shared" si="43"/>
        <v>0</v>
      </c>
    </row>
    <row r="66" spans="2:47" x14ac:dyDescent="0.2">
      <c r="B66" s="34">
        <f>IF(AND((G66-B$6)*(G65-B$6)&lt;=0,ISNUMBER(SWeRF!C67)),(F65+(B$6-G65)*(F66-F65)/(G66-G65)),0)</f>
        <v>0</v>
      </c>
      <c r="C66" s="34">
        <f>IF(AND((G66-C$6)*(G65-C$6)&lt;=0,ISNUMBER(SWeRF!C67)),(F65+(C$6-G65)*(F66-F65)/(G66-G65)),0)</f>
        <v>0</v>
      </c>
      <c r="D66" s="322">
        <f>IF(AND((G66-D$6)*(G65-D$6)&lt;=0,ISNUMBER(SWeRF!C67)),(F65+(D$6-G65)*(F66-F65)/(G66-G65)),0)</f>
        <v>0</v>
      </c>
      <c r="E66" s="34">
        <f>IF(AND((G66-E$6)*(G65-E$6)&lt;=0,ISNUMBER(SWeRF!C67)),(F65+(E$6-G65)*(F66-F65)/(G66-G65)),0)</f>
        <v>0</v>
      </c>
      <c r="F66" s="100">
        <f>IF(ISNUMBER(SWeRF!C67),SWeRF!C67,F65)</f>
        <v>17.450155932507485</v>
      </c>
      <c r="G66" s="32">
        <f>IF(ISNUMBER(SWeRF!D67),SWeRF!D67,G65)</f>
        <v>98.167061434826891</v>
      </c>
      <c r="H66" s="76">
        <f t="shared" si="20"/>
        <v>16.995303884119824</v>
      </c>
      <c r="I66" s="35">
        <f t="shared" si="44"/>
        <v>0.37102309816830825</v>
      </c>
      <c r="J66" s="35">
        <f t="shared" si="45"/>
        <v>2.1830918746618418E-2</v>
      </c>
      <c r="K66" s="36">
        <f t="shared" si="46"/>
        <v>7.0230708983128691</v>
      </c>
      <c r="L66" s="144"/>
      <c r="M66" s="25">
        <f t="shared" si="47"/>
        <v>36.603755887925431</v>
      </c>
      <c r="N66" s="33">
        <f t="shared" si="24"/>
        <v>35.649650182010831</v>
      </c>
      <c r="O66" s="33">
        <f t="shared" si="48"/>
        <v>98.167061434826891</v>
      </c>
      <c r="P66" s="52">
        <f t="shared" si="49"/>
        <v>0.37102309816830825</v>
      </c>
      <c r="Q66" s="53">
        <f t="shared" si="50"/>
        <v>7.0230708983128505</v>
      </c>
      <c r="R66" s="82">
        <f t="shared" si="51"/>
        <v>1.6169617311661616E-8</v>
      </c>
      <c r="S66" s="6">
        <f t="shared" si="52"/>
        <v>17.017600712229154</v>
      </c>
      <c r="T66" s="9">
        <f t="shared" si="53"/>
        <v>3.0607358231608523E-7</v>
      </c>
      <c r="U66" s="60">
        <f t="shared" si="54"/>
        <v>55.88875143376584</v>
      </c>
      <c r="V66" s="58">
        <f t="shared" si="55"/>
        <v>7.7978411949786164E-8</v>
      </c>
      <c r="W66" s="61">
        <f t="shared" si="56"/>
        <v>4.358116082661395E-6</v>
      </c>
      <c r="X66" s="60">
        <f t="shared" si="57"/>
        <v>55.561109574729862</v>
      </c>
      <c r="Y66" s="58">
        <f t="shared" si="37"/>
        <v>5.4655477366161165E-8</v>
      </c>
      <c r="Z66" s="61">
        <f t="shared" si="38"/>
        <v>3.0367189668004483E-6</v>
      </c>
      <c r="AB66" s="25">
        <f t="shared" si="39"/>
        <v>28.406795779925432</v>
      </c>
      <c r="AC66" s="76">
        <f t="shared" si="34"/>
        <v>27.666350290578311</v>
      </c>
      <c r="AD66" s="33">
        <f t="shared" si="28"/>
        <v>98.167061434826891</v>
      </c>
      <c r="AE66" s="52">
        <f t="shared" si="58"/>
        <v>0.37102309816830825</v>
      </c>
      <c r="AF66" s="53">
        <f t="shared" si="59"/>
        <v>7.0230708983128673</v>
      </c>
      <c r="AG66" s="82">
        <f t="shared" si="60"/>
        <v>4.2337341849500126E-7</v>
      </c>
      <c r="AH66" s="6">
        <f t="shared" si="61"/>
        <v>25.956900068398486</v>
      </c>
      <c r="AI66" s="9">
        <f t="shared" si="40"/>
        <v>8.0140065382200418E-6</v>
      </c>
      <c r="AJ66" s="60">
        <f t="shared" si="62"/>
        <v>59.507129473069199</v>
      </c>
      <c r="AK66" s="58">
        <f t="shared" si="63"/>
        <v>1.917580649934969E-6</v>
      </c>
      <c r="AL66" s="61">
        <f t="shared" si="64"/>
        <v>1.1410972001073238E-4</v>
      </c>
      <c r="AN66" s="166">
        <f t="shared" si="65"/>
        <v>5.4075583107600052E-4</v>
      </c>
      <c r="AO66" s="167">
        <f t="shared" si="66"/>
        <v>3.0815551369803345</v>
      </c>
      <c r="AP66" s="299">
        <f t="shared" si="67"/>
        <v>0</v>
      </c>
      <c r="AQ66" s="168">
        <f t="shared" si="41"/>
        <v>0</v>
      </c>
      <c r="AR66" s="168">
        <f t="shared" si="68"/>
        <v>0</v>
      </c>
      <c r="AS66" s="169">
        <f t="shared" si="42"/>
        <v>0</v>
      </c>
      <c r="AT66" s="168">
        <f t="shared" si="69"/>
        <v>17.098851031332003</v>
      </c>
      <c r="AU66" s="170">
        <f t="shared" si="43"/>
        <v>0</v>
      </c>
    </row>
    <row r="67" spans="2:47" x14ac:dyDescent="0.2">
      <c r="B67" s="34">
        <f>IF(AND((G67-B$6)*(G66-B$6)&lt;=0,ISNUMBER(SWeRF!C68)),(F66+(B$6-G66)*(F67-F66)/(G67-G66)),0)</f>
        <v>0</v>
      </c>
      <c r="C67" s="34">
        <f>IF(AND((G67-C$6)*(G66-C$6)&lt;=0,ISNUMBER(SWeRF!C68)),(F66+(C$6-G66)*(F67-F66)/(G67-G66)),0)</f>
        <v>0</v>
      </c>
      <c r="D67" s="322">
        <f>IF(AND((G67-D$6)*(G66-D$6)&lt;=0,ISNUMBER(SWeRF!C68)),(F66+(D$6-G66)*(F67-F66)/(G67-G66)),0)</f>
        <v>0</v>
      </c>
      <c r="E67" s="34">
        <f>IF(AND((G67-E$6)*(G66-E$6)&lt;=0,ISNUMBER(SWeRF!C68)),(F66+(E$6-G66)*(F67-F66)/(G67-G66)),0)</f>
        <v>0</v>
      </c>
      <c r="F67" s="100">
        <f>IF(ISNUMBER(SWeRF!C68),SWeRF!C68,F66)</f>
        <v>18.394194466328578</v>
      </c>
      <c r="G67" s="32">
        <f>IF(ISNUMBER(SWeRF!D68),SWeRF!D68,G66)</f>
        <v>98.482738376222983</v>
      </c>
      <c r="H67" s="76">
        <f t="shared" si="20"/>
        <v>17.91595829673367</v>
      </c>
      <c r="I67" s="35">
        <f t="shared" si="44"/>
        <v>0.31567694139609159</v>
      </c>
      <c r="J67" s="35">
        <f t="shared" si="45"/>
        <v>1.7619874760126223E-2</v>
      </c>
      <c r="K67" s="36">
        <f t="shared" si="46"/>
        <v>5.9909153224932146</v>
      </c>
      <c r="L67" s="144"/>
      <c r="M67" s="25">
        <f t="shared" si="47"/>
        <v>38.583987822495708</v>
      </c>
      <c r="N67" s="33">
        <f t="shared" si="24"/>
        <v>37.580831170123425</v>
      </c>
      <c r="O67" s="33">
        <f t="shared" si="48"/>
        <v>98.482738376222983</v>
      </c>
      <c r="P67" s="52">
        <f t="shared" si="49"/>
        <v>0.31567694139609159</v>
      </c>
      <c r="Q67" s="53">
        <f t="shared" si="50"/>
        <v>5.9909153224932199</v>
      </c>
      <c r="R67" s="82">
        <f t="shared" si="51"/>
        <v>6.6595090888602202E-9</v>
      </c>
      <c r="S67" s="6">
        <f t="shared" si="52"/>
        <v>17.017600718888662</v>
      </c>
      <c r="T67" s="9">
        <f t="shared" si="53"/>
        <v>1.2638412823024612E-7</v>
      </c>
      <c r="U67" s="60">
        <f t="shared" si="54"/>
        <v>55.244464478079294</v>
      </c>
      <c r="V67" s="58">
        <f t="shared" si="55"/>
        <v>3.8186564466080597E-8</v>
      </c>
      <c r="W67" s="61">
        <f t="shared" si="56"/>
        <v>2.1095963041862746E-6</v>
      </c>
      <c r="X67" s="60">
        <f t="shared" si="57"/>
        <v>54.938115279723057</v>
      </c>
      <c r="Y67" s="58">
        <f t="shared" si="37"/>
        <v>2.6570966871197754E-8</v>
      </c>
      <c r="Z67" s="61">
        <f t="shared" si="38"/>
        <v>1.4597588410635644E-6</v>
      </c>
      <c r="AB67" s="25">
        <f t="shared" si="39"/>
        <v>29.943579172713289</v>
      </c>
      <c r="AC67" s="76">
        <f t="shared" si="34"/>
        <v>29.165067091973146</v>
      </c>
      <c r="AD67" s="33">
        <f t="shared" si="28"/>
        <v>98.482738376222983</v>
      </c>
      <c r="AE67" s="52">
        <f t="shared" si="58"/>
        <v>0.31567694139609159</v>
      </c>
      <c r="AF67" s="53">
        <f t="shared" si="59"/>
        <v>5.9909153224932181</v>
      </c>
      <c r="AG67" s="82">
        <f t="shared" si="60"/>
        <v>1.8821975646145734E-7</v>
      </c>
      <c r="AH67" s="6">
        <f t="shared" si="61"/>
        <v>25.956900256618244</v>
      </c>
      <c r="AI67" s="9">
        <f t="shared" si="40"/>
        <v>3.5720335416137782E-6</v>
      </c>
      <c r="AJ67" s="60">
        <f t="shared" si="62"/>
        <v>58.689531105746781</v>
      </c>
      <c r="AK67" s="58">
        <f t="shared" si="63"/>
        <v>1.0159251396801849E-6</v>
      </c>
      <c r="AL67" s="61">
        <f t="shared" si="64"/>
        <v>5.9624170086370359E-5</v>
      </c>
      <c r="AN67" s="166">
        <f t="shared" si="65"/>
        <v>6.0092936696670219E-4</v>
      </c>
      <c r="AO67" s="167">
        <f t="shared" si="66"/>
        <v>3.4244604890415338</v>
      </c>
      <c r="AP67" s="299">
        <f t="shared" si="67"/>
        <v>0</v>
      </c>
      <c r="AQ67" s="168">
        <f t="shared" si="41"/>
        <v>0</v>
      </c>
      <c r="AR67" s="168">
        <f t="shared" si="68"/>
        <v>0</v>
      </c>
      <c r="AS67" s="169">
        <f t="shared" si="42"/>
        <v>0</v>
      </c>
      <c r="AT67" s="168">
        <f t="shared" si="69"/>
        <v>17.098851031332003</v>
      </c>
      <c r="AU67" s="170">
        <f t="shared" si="43"/>
        <v>0</v>
      </c>
    </row>
    <row r="68" spans="2:47" x14ac:dyDescent="0.2">
      <c r="B68" s="34">
        <f>IF(AND((G68-B$6)*(G67-B$6)&lt;=0,ISNUMBER(SWeRF!C69)),(F67+(B$6-G67)*(F68-F67)/(G68-G67)),0)</f>
        <v>0</v>
      </c>
      <c r="C68" s="34">
        <f>IF(AND((G68-C$6)*(G67-C$6)&lt;=0,ISNUMBER(SWeRF!C69)),(F67+(C$6-G67)*(F68-F67)/(G68-G67)),0)</f>
        <v>0</v>
      </c>
      <c r="D68" s="322">
        <f>IF(AND((G68-D$6)*(G67-D$6)&lt;=0,ISNUMBER(SWeRF!C69)),(F67+(D$6-G67)*(F68-F67)/(G68-G67)),0)</f>
        <v>0</v>
      </c>
      <c r="E68" s="34">
        <f>IF(AND((G68-E$6)*(G67-E$6)&lt;=0,ISNUMBER(SWeRF!C69)),(F67+(E$6-G67)*(F68-F67)/(G68-G67)),0)</f>
        <v>0</v>
      </c>
      <c r="F68" s="100">
        <f>IF(ISNUMBER(SWeRF!C69),SWeRF!C69,F67)</f>
        <v>19.386799821958551</v>
      </c>
      <c r="G68" s="32">
        <f>IF(ISNUMBER(SWeRF!D69),SWeRF!D69,G67)</f>
        <v>98.749922774787294</v>
      </c>
      <c r="H68" s="76">
        <f t="shared" si="20"/>
        <v>18.883976435192082</v>
      </c>
      <c r="I68" s="35">
        <f t="shared" si="44"/>
        <v>0.26718439856431075</v>
      </c>
      <c r="J68" s="35">
        <f t="shared" si="45"/>
        <v>1.414873607162458E-2</v>
      </c>
      <c r="K68" s="36">
        <f t="shared" si="46"/>
        <v>5.0830915405823136</v>
      </c>
      <c r="L68" s="144"/>
      <c r="M68" s="25">
        <f t="shared" si="47"/>
        <v>40.666094381947296</v>
      </c>
      <c r="N68" s="33">
        <f t="shared" si="24"/>
        <v>39.611363147732185</v>
      </c>
      <c r="O68" s="33">
        <f t="shared" si="48"/>
        <v>98.749922774787294</v>
      </c>
      <c r="P68" s="52">
        <f t="shared" si="49"/>
        <v>0.26718439856431075</v>
      </c>
      <c r="Q68" s="53">
        <f t="shared" si="50"/>
        <v>5.0830915405823189</v>
      </c>
      <c r="R68" s="82">
        <f t="shared" si="51"/>
        <v>2.6906711220200754E-9</v>
      </c>
      <c r="S68" s="6">
        <f t="shared" si="52"/>
        <v>17.017600721579335</v>
      </c>
      <c r="T68" s="9">
        <f t="shared" si="53"/>
        <v>5.1189095217838315E-8</v>
      </c>
      <c r="U68" s="60">
        <f t="shared" si="54"/>
        <v>54.642909497327274</v>
      </c>
      <c r="V68" s="58">
        <f t="shared" si="55"/>
        <v>1.8429591408519741E-8</v>
      </c>
      <c r="W68" s="61">
        <f t="shared" si="56"/>
        <v>1.0070464954084645E-6</v>
      </c>
      <c r="X68" s="60">
        <f t="shared" si="57"/>
        <v>54.358192218138491</v>
      </c>
      <c r="Y68" s="58">
        <f t="shared" si="37"/>
        <v>1.2730649201486699E-8</v>
      </c>
      <c r="Z68" s="61">
        <f t="shared" si="38"/>
        <v>6.9201507635610531E-7</v>
      </c>
      <c r="AB68" s="25">
        <f t="shared" si="39"/>
        <v>31.559423623416098</v>
      </c>
      <c r="AC68" s="76">
        <f t="shared" si="34"/>
        <v>30.740886452946636</v>
      </c>
      <c r="AD68" s="33">
        <f t="shared" si="28"/>
        <v>98.749922774787294</v>
      </c>
      <c r="AE68" s="52">
        <f t="shared" si="58"/>
        <v>0.26718439856431075</v>
      </c>
      <c r="AF68" s="53">
        <f t="shared" si="59"/>
        <v>5.0830915405823065</v>
      </c>
      <c r="AG68" s="82">
        <f t="shared" si="60"/>
        <v>8.2060201172070107E-8</v>
      </c>
      <c r="AH68" s="6">
        <f t="shared" si="61"/>
        <v>25.956900338678444</v>
      </c>
      <c r="AI68" s="9">
        <f t="shared" si="40"/>
        <v>1.5611671813084272E-6</v>
      </c>
      <c r="AJ68" s="60">
        <f t="shared" si="62"/>
        <v>57.90558773954649</v>
      </c>
      <c r="AK68" s="58">
        <f t="shared" si="63"/>
        <v>5.3039693781453678E-7</v>
      </c>
      <c r="AL68" s="61">
        <f t="shared" si="64"/>
        <v>3.0712946419406441E-5</v>
      </c>
      <c r="AN68" s="166">
        <f t="shared" si="65"/>
        <v>6.6762138914856523E-4</v>
      </c>
      <c r="AO68" s="167">
        <f t="shared" si="66"/>
        <v>3.8045121347929824</v>
      </c>
      <c r="AP68" s="299">
        <f t="shared" si="67"/>
        <v>0</v>
      </c>
      <c r="AQ68" s="168">
        <f t="shared" si="41"/>
        <v>0</v>
      </c>
      <c r="AR68" s="168">
        <f t="shared" si="68"/>
        <v>0</v>
      </c>
      <c r="AS68" s="169">
        <f t="shared" si="42"/>
        <v>0</v>
      </c>
      <c r="AT68" s="168">
        <f t="shared" si="69"/>
        <v>17.098851031332003</v>
      </c>
      <c r="AU68" s="170">
        <f t="shared" si="43"/>
        <v>0</v>
      </c>
    </row>
    <row r="69" spans="2:47" x14ac:dyDescent="0.2">
      <c r="B69" s="34">
        <f>IF(AND((G69-B$6)*(G68-B$6)&lt;=0,ISNUMBER(SWeRF!C70)),(F68+(B$6-G68)*(F69-F68)/(G69-G68)),0)</f>
        <v>0</v>
      </c>
      <c r="C69" s="34">
        <f>IF(AND((G69-C$6)*(G68-C$6)&lt;=0,ISNUMBER(SWeRF!C70)),(F68+(C$6-G68)*(F69-F68)/(G69-G68)),0)</f>
        <v>0</v>
      </c>
      <c r="D69" s="322">
        <f>IF(AND((G69-D$6)*(G68-D$6)&lt;=0,ISNUMBER(SWeRF!C70)),(F68+(D$6-G68)*(F69-F68)/(G69-G68)),0)</f>
        <v>0</v>
      </c>
      <c r="E69" s="34">
        <f>IF(AND((G69-E$6)*(G68-E$6)&lt;=0,ISNUMBER(SWeRF!C70)),(F68+(E$6-G68)*(F69-F68)/(G69-G68)),0)</f>
        <v>0</v>
      </c>
      <c r="F69" s="100">
        <f>IF(ISNUMBER(SWeRF!C70),SWeRF!C70,F68)</f>
        <v>20.430470558615159</v>
      </c>
      <c r="G69" s="32">
        <f>IF(ISNUMBER(SWeRF!D70),SWeRF!D70,G68)</f>
        <v>98.974885908696635</v>
      </c>
      <c r="H69" s="76">
        <f t="shared" si="20"/>
        <v>19.901794969004424</v>
      </c>
      <c r="I69" s="35">
        <f t="shared" si="44"/>
        <v>0.2249631339093412</v>
      </c>
      <c r="J69" s="35">
        <f t="shared" si="45"/>
        <v>1.1303660512014351E-2</v>
      </c>
      <c r="K69" s="36">
        <f t="shared" si="46"/>
        <v>4.2898301249596953</v>
      </c>
      <c r="L69" s="144"/>
      <c r="M69" s="25">
        <f t="shared" si="47"/>
        <v>42.855316588310721</v>
      </c>
      <c r="N69" s="33">
        <f t="shared" si="24"/>
        <v>41.7463573159201</v>
      </c>
      <c r="O69" s="33">
        <f t="shared" si="48"/>
        <v>98.974885908696635</v>
      </c>
      <c r="P69" s="52">
        <f t="shared" si="49"/>
        <v>0.2249631339093412</v>
      </c>
      <c r="Q69" s="53">
        <f t="shared" si="50"/>
        <v>4.28983012495969</v>
      </c>
      <c r="R69" s="82">
        <f t="shared" si="51"/>
        <v>1.066538337006236E-9</v>
      </c>
      <c r="S69" s="6">
        <f t="shared" si="52"/>
        <v>17.017600722645874</v>
      </c>
      <c r="T69" s="9">
        <f t="shared" si="53"/>
        <v>2.0337858065924582E-8</v>
      </c>
      <c r="U69" s="60">
        <f t="shared" si="54"/>
        <v>54.084672552012172</v>
      </c>
      <c r="V69" s="58">
        <f t="shared" si="55"/>
        <v>8.7657869851653913E-9</v>
      </c>
      <c r="W69" s="61">
        <f t="shared" si="56"/>
        <v>4.7409471875336015E-7</v>
      </c>
      <c r="X69" s="60">
        <f t="shared" si="57"/>
        <v>53.821733097318024</v>
      </c>
      <c r="Y69" s="58">
        <f t="shared" si="37"/>
        <v>6.0112397282097163E-9</v>
      </c>
      <c r="Z69" s="61">
        <f t="shared" si="38"/>
        <v>3.2353534023569791E-7</v>
      </c>
      <c r="AB69" s="25">
        <f t="shared" si="39"/>
        <v>33.258396491759314</v>
      </c>
      <c r="AC69" s="76">
        <f t="shared" si="34"/>
        <v>32.397774984078275</v>
      </c>
      <c r="AD69" s="33">
        <f t="shared" si="28"/>
        <v>98.974885908696635</v>
      </c>
      <c r="AE69" s="52">
        <f t="shared" si="58"/>
        <v>0.2249631339093412</v>
      </c>
      <c r="AF69" s="53">
        <f t="shared" si="59"/>
        <v>4.2898301249596944</v>
      </c>
      <c r="AG69" s="82">
        <f t="shared" si="60"/>
        <v>3.5087991550059249E-8</v>
      </c>
      <c r="AH69" s="6">
        <f t="shared" si="61"/>
        <v>25.956900373766437</v>
      </c>
      <c r="AI69" s="9">
        <f t="shared" si="40"/>
        <v>6.6909417805512377E-7</v>
      </c>
      <c r="AJ69" s="60">
        <f t="shared" si="62"/>
        <v>57.157469569189857</v>
      </c>
      <c r="AK69" s="58">
        <f t="shared" si="63"/>
        <v>2.7288154325066927E-7</v>
      </c>
      <c r="AL69" s="61">
        <f t="shared" si="64"/>
        <v>1.5597218504343694E-5</v>
      </c>
      <c r="AN69" s="166">
        <f t="shared" si="65"/>
        <v>7.4152848390669345E-4</v>
      </c>
      <c r="AO69" s="167">
        <f t="shared" si="66"/>
        <v>4.2256796459375705</v>
      </c>
      <c r="AP69" s="299">
        <f t="shared" si="67"/>
        <v>0</v>
      </c>
      <c r="AQ69" s="168">
        <f t="shared" si="41"/>
        <v>0</v>
      </c>
      <c r="AR69" s="168">
        <f t="shared" si="68"/>
        <v>0</v>
      </c>
      <c r="AS69" s="169">
        <f t="shared" si="42"/>
        <v>0</v>
      </c>
      <c r="AT69" s="168">
        <f t="shared" si="69"/>
        <v>17.098851031332003</v>
      </c>
      <c r="AU69" s="170">
        <f t="shared" si="43"/>
        <v>0</v>
      </c>
    </row>
    <row r="70" spans="2:47" x14ac:dyDescent="0.2">
      <c r="B70" s="34">
        <f>IF(AND((G70-B$6)*(G69-B$6)&lt;=0,ISNUMBER(SWeRF!C71)),(F69+(B$6-G69)*(F70-F69)/(G70-G69)),0)</f>
        <v>0</v>
      </c>
      <c r="C70" s="34">
        <f>IF(AND((G70-C$6)*(G69-C$6)&lt;=0,ISNUMBER(SWeRF!C71)),(F69+(C$6-G69)*(F70-F69)/(G70-G69)),0)</f>
        <v>0</v>
      </c>
      <c r="D70" s="322">
        <f>IF(AND((G70-D$6)*(G69-D$6)&lt;=0,ISNUMBER(SWeRF!C71)),(F69+(D$6-G69)*(F70-F69)/(G70-G69)),0)</f>
        <v>0</v>
      </c>
      <c r="E70" s="34">
        <f>IF(AND((G70-E$6)*(G69-E$6)&lt;=0,ISNUMBER(SWeRF!C71)),(F69+(E$6-G69)*(F70-F69)/(G70-G69)),0)</f>
        <v>0</v>
      </c>
      <c r="F70" s="100">
        <f>IF(ISNUMBER(SWeRF!C71),SWeRF!C71,F69)</f>
        <v>21.52783377590514</v>
      </c>
      <c r="G70" s="32">
        <f>IF(ISNUMBER(SWeRF!D71),SWeRF!D71,G69)</f>
        <v>99.163315334726747</v>
      </c>
      <c r="H70" s="76">
        <f t="shared" si="20"/>
        <v>20.971975923822509</v>
      </c>
      <c r="I70" s="35">
        <f t="shared" si="44"/>
        <v>0.18842942603011181</v>
      </c>
      <c r="J70" s="35">
        <f t="shared" si="45"/>
        <v>8.9848198717446971E-3</v>
      </c>
      <c r="K70" s="36">
        <f t="shared" si="46"/>
        <v>3.6011206898316712</v>
      </c>
      <c r="L70" s="144"/>
      <c r="M70" s="25">
        <f t="shared" si="47"/>
        <v>45.157165092211116</v>
      </c>
      <c r="N70" s="33">
        <f t="shared" si="24"/>
        <v>43.991187825032874</v>
      </c>
      <c r="O70" s="33">
        <f t="shared" si="48"/>
        <v>99.163315334726747</v>
      </c>
      <c r="P70" s="52">
        <f t="shared" si="49"/>
        <v>0.18842942603011181</v>
      </c>
      <c r="Q70" s="53">
        <f t="shared" si="50"/>
        <v>3.6011206898316703</v>
      </c>
      <c r="R70" s="82">
        <f t="shared" si="51"/>
        <v>4.1476928135390395E-10</v>
      </c>
      <c r="S70" s="6">
        <f t="shared" si="52"/>
        <v>17.017600723060642</v>
      </c>
      <c r="T70" s="9">
        <f t="shared" si="53"/>
        <v>7.9267568344206933E-9</v>
      </c>
      <c r="U70" s="60">
        <f t="shared" si="54"/>
        <v>53.5699505206235</v>
      </c>
      <c r="V70" s="58">
        <f t="shared" si="55"/>
        <v>4.109004470009836E-9</v>
      </c>
      <c r="W70" s="61">
        <f t="shared" si="56"/>
        <v>2.2011916614744772E-7</v>
      </c>
      <c r="X70" s="60">
        <f t="shared" si="57"/>
        <v>53.32873748974707</v>
      </c>
      <c r="Y70" s="58">
        <f t="shared" si="37"/>
        <v>2.7973570126960112E-9</v>
      </c>
      <c r="Z70" s="61">
        <f t="shared" si="38"/>
        <v>1.4917951779516865E-7</v>
      </c>
      <c r="AB70" s="25">
        <f t="shared" si="39"/>
        <v>35.044774386061547</v>
      </c>
      <c r="AC70" s="76">
        <f t="shared" si="34"/>
        <v>34.139903360962904</v>
      </c>
      <c r="AD70" s="33">
        <f t="shared" si="28"/>
        <v>99.163315334726747</v>
      </c>
      <c r="AE70" s="52">
        <f t="shared" si="58"/>
        <v>0.18842942603011181</v>
      </c>
      <c r="AF70" s="53">
        <f t="shared" si="59"/>
        <v>3.6011206898316805</v>
      </c>
      <c r="AG70" s="82">
        <f t="shared" si="60"/>
        <v>1.4715441747782879E-8</v>
      </c>
      <c r="AH70" s="6">
        <f t="shared" si="61"/>
        <v>25.956900388481881</v>
      </c>
      <c r="AI70" s="9">
        <f t="shared" si="40"/>
        <v>2.8123039407595126E-7</v>
      </c>
      <c r="AJ70" s="60">
        <f t="shared" si="62"/>
        <v>56.447089597430441</v>
      </c>
      <c r="AK70" s="58">
        <f t="shared" si="63"/>
        <v>1.3835122980587755E-7</v>
      </c>
      <c r="AL70" s="61">
        <f t="shared" si="64"/>
        <v>7.8095242647670589E-6</v>
      </c>
      <c r="AN70" s="166">
        <f t="shared" si="65"/>
        <v>8.234211983537944E-4</v>
      </c>
      <c r="AO70" s="167">
        <f t="shared" si="66"/>
        <v>4.6923540678917188</v>
      </c>
      <c r="AP70" s="299">
        <f t="shared" si="67"/>
        <v>0</v>
      </c>
      <c r="AQ70" s="168">
        <f t="shared" si="41"/>
        <v>0</v>
      </c>
      <c r="AR70" s="168">
        <f t="shared" si="68"/>
        <v>0</v>
      </c>
      <c r="AS70" s="169">
        <f t="shared" si="42"/>
        <v>0</v>
      </c>
      <c r="AT70" s="168">
        <f t="shared" si="69"/>
        <v>17.098851031332003</v>
      </c>
      <c r="AU70" s="170">
        <f t="shared" si="43"/>
        <v>0</v>
      </c>
    </row>
    <row r="71" spans="2:47" x14ac:dyDescent="0.2">
      <c r="B71" s="34">
        <f>IF(AND((G71-B$6)*(G70-B$6)&lt;=0,ISNUMBER(SWeRF!C72)),(F70+(B$6-G70)*(F71-F70)/(G71-G70)),0)</f>
        <v>0</v>
      </c>
      <c r="C71" s="34">
        <f>IF(AND((G71-C$6)*(G70-C$6)&lt;=0,ISNUMBER(SWeRF!C72)),(F70+(C$6-G70)*(F71-F70)/(G71-G70)),0)</f>
        <v>0</v>
      </c>
      <c r="D71" s="322">
        <f>IF(AND((G71-D$6)*(G70-D$6)&lt;=0,ISNUMBER(SWeRF!C72)),(F70+(D$6-G70)*(F71-F70)/(G71-G70)),0)</f>
        <v>0</v>
      </c>
      <c r="E71" s="34">
        <f>IF(AND((G71-E$6)*(G70-E$6)&lt;=0,ISNUMBER(SWeRF!C72)),(F70+(E$6-G70)*(F71-F70)/(G71-G70)),0)</f>
        <v>0</v>
      </c>
      <c r="F71" s="100">
        <f>IF(ISNUMBER(SWeRF!C72),SWeRF!C72,F70)</f>
        <v>22.681651726687832</v>
      </c>
      <c r="G71" s="32">
        <f>IF(ISNUMBER(SWeRF!D72),SWeRF!D72,G70)</f>
        <v>99.320325490332436</v>
      </c>
      <c r="H71" s="76">
        <f t="shared" si="20"/>
        <v>22.097213130508276</v>
      </c>
      <c r="I71" s="35">
        <f t="shared" si="44"/>
        <v>0.15701015560568976</v>
      </c>
      <c r="J71" s="35">
        <f t="shared" si="45"/>
        <v>7.1054279414500196E-3</v>
      </c>
      <c r="K71" s="36">
        <f t="shared" si="46"/>
        <v>3.0069621206011492</v>
      </c>
      <c r="L71" s="144"/>
      <c r="M71" s="25">
        <f t="shared" si="47"/>
        <v>47.57743404412799</v>
      </c>
      <c r="N71" s="33">
        <f t="shared" si="24"/>
        <v>46.351505302357474</v>
      </c>
      <c r="O71" s="33">
        <f t="shared" si="48"/>
        <v>99.320325490332436</v>
      </c>
      <c r="P71" s="52">
        <f t="shared" si="49"/>
        <v>0.15701015560568976</v>
      </c>
      <c r="Q71" s="53">
        <f t="shared" si="50"/>
        <v>3.0069621206011554</v>
      </c>
      <c r="R71" s="82">
        <f t="shared" si="51"/>
        <v>1.5825697505459924E-10</v>
      </c>
      <c r="S71" s="6">
        <f t="shared" si="52"/>
        <v>17.017600723218898</v>
      </c>
      <c r="T71" s="9">
        <f t="shared" si="53"/>
        <v>3.0308404413354787E-9</v>
      </c>
      <c r="U71" s="60">
        <f t="shared" si="54"/>
        <v>53.098545126469496</v>
      </c>
      <c r="V71" s="58">
        <f t="shared" si="55"/>
        <v>1.8982460048277972E-9</v>
      </c>
      <c r="W71" s="61">
        <f t="shared" si="56"/>
        <v>1.0079410114848922E-7</v>
      </c>
      <c r="X71" s="60">
        <f t="shared" si="57"/>
        <v>52.878809851641698</v>
      </c>
      <c r="Y71" s="58">
        <f t="shared" si="37"/>
        <v>1.2829256545998646E-9</v>
      </c>
      <c r="Z71" s="61">
        <f t="shared" si="38"/>
        <v>6.7839581743379202E-8</v>
      </c>
      <c r="AB71" s="25">
        <f t="shared" si="39"/>
        <v>36.92305392819663</v>
      </c>
      <c r="AC71" s="76">
        <f t="shared" si="34"/>
        <v>35.971656822532296</v>
      </c>
      <c r="AD71" s="33">
        <f t="shared" si="28"/>
        <v>99.320325490332436</v>
      </c>
      <c r="AE71" s="52">
        <f t="shared" si="58"/>
        <v>0.15701015560568976</v>
      </c>
      <c r="AF71" s="53">
        <f t="shared" si="59"/>
        <v>3.006962120601151</v>
      </c>
      <c r="AG71" s="82">
        <f t="shared" si="60"/>
        <v>6.0534700372958861E-9</v>
      </c>
      <c r="AH71" s="6">
        <f t="shared" si="61"/>
        <v>25.956900394535349</v>
      </c>
      <c r="AI71" s="9">
        <f t="shared" si="40"/>
        <v>1.1593234227508229E-7</v>
      </c>
      <c r="AJ71" s="60">
        <f t="shared" si="62"/>
        <v>55.77607043577877</v>
      </c>
      <c r="AK71" s="58">
        <f t="shared" si="63"/>
        <v>6.9123980539487206E-8</v>
      </c>
      <c r="AL71" s="61">
        <f t="shared" si="64"/>
        <v>3.8554640073718392E-6</v>
      </c>
      <c r="AN71" s="166">
        <f t="shared" si="65"/>
        <v>9.1415186898654872E-4</v>
      </c>
      <c r="AO71" s="167">
        <f t="shared" si="66"/>
        <v>5.2093925316540073</v>
      </c>
      <c r="AP71" s="299">
        <f t="shared" si="67"/>
        <v>0</v>
      </c>
      <c r="AQ71" s="168">
        <f t="shared" si="41"/>
        <v>0</v>
      </c>
      <c r="AR71" s="168">
        <f t="shared" si="68"/>
        <v>0</v>
      </c>
      <c r="AS71" s="169">
        <f t="shared" si="42"/>
        <v>0</v>
      </c>
      <c r="AT71" s="168">
        <f t="shared" si="69"/>
        <v>17.098851031332003</v>
      </c>
      <c r="AU71" s="170">
        <f t="shared" si="43"/>
        <v>0</v>
      </c>
    </row>
    <row r="72" spans="2:47" x14ac:dyDescent="0.2">
      <c r="B72" s="34">
        <f>IF(AND((G72-B$6)*(G71-B$6)&lt;=0,ISNUMBER(SWeRF!C73)),(F71+(B$6-G71)*(F72-F71)/(G72-G71)),0)</f>
        <v>0</v>
      </c>
      <c r="C72" s="34">
        <f>IF(AND((G72-C$6)*(G71-C$6)&lt;=0,ISNUMBER(SWeRF!C73)),(F71+(C$6-G71)*(F72-F71)/(G72-G71)),0)</f>
        <v>0</v>
      </c>
      <c r="D72" s="322">
        <f>IF(AND((G72-D$6)*(G71-D$6)&lt;=0,ISNUMBER(SWeRF!C73)),(F71+(D$6-G71)*(F72-F71)/(G72-G71)),0)</f>
        <v>0</v>
      </c>
      <c r="E72" s="34">
        <f>IF(AND((G72-E$6)*(G71-E$6)&lt;=0,ISNUMBER(SWeRF!C73)),(F71+(E$6-G71)*(F72-F71)/(G72-G71)),0)</f>
        <v>0</v>
      </c>
      <c r="F72" s="100">
        <f>IF(ISNUMBER(SWeRF!C73),SWeRF!C73,F71)</f>
        <v>23.894828770143068</v>
      </c>
      <c r="G72" s="32">
        <f>IF(ISNUMBER(SWeRF!D73),SWeRF!D73,G71)</f>
        <v>99.450477966241095</v>
      </c>
      <c r="H72" s="76">
        <f t="shared" si="20"/>
        <v>23.280339005977247</v>
      </c>
      <c r="I72" s="35">
        <f t="shared" si="44"/>
        <v>0.13015247590865897</v>
      </c>
      <c r="J72" s="35">
        <f t="shared" si="45"/>
        <v>5.5906606804669899E-3</v>
      </c>
      <c r="K72" s="36">
        <f t="shared" si="46"/>
        <v>2.4975693184823018</v>
      </c>
      <c r="L72" s="144"/>
      <c r="M72" s="25">
        <f t="shared" si="47"/>
        <v>50.122215679273502</v>
      </c>
      <c r="N72" s="33">
        <f t="shared" si="24"/>
        <v>48.833251075739298</v>
      </c>
      <c r="O72" s="33">
        <f t="shared" si="48"/>
        <v>99.450477966241095</v>
      </c>
      <c r="P72" s="52">
        <f t="shared" si="49"/>
        <v>0.13015247590865897</v>
      </c>
      <c r="Q72" s="53">
        <f t="shared" si="50"/>
        <v>2.4975693184823022</v>
      </c>
      <c r="R72" s="82">
        <f t="shared" si="51"/>
        <v>5.9245081500728381E-11</v>
      </c>
      <c r="S72" s="6">
        <f t="shared" si="52"/>
        <v>17.017600723278143</v>
      </c>
      <c r="T72" s="9">
        <f t="shared" si="53"/>
        <v>1.1368873069387253E-9</v>
      </c>
      <c r="U72" s="60">
        <f t="shared" si="54"/>
        <v>52.669865084228029</v>
      </c>
      <c r="V72" s="58">
        <f t="shared" si="55"/>
        <v>8.6424656320360782E-10</v>
      </c>
      <c r="W72" s="61">
        <f t="shared" si="56"/>
        <v>4.5519749883441774E-8</v>
      </c>
      <c r="X72" s="60">
        <f t="shared" si="57"/>
        <v>52.471165902739969</v>
      </c>
      <c r="Y72" s="58">
        <f t="shared" si="37"/>
        <v>5.7986060397752226E-10</v>
      </c>
      <c r="Z72" s="61">
        <f t="shared" si="38"/>
        <v>3.0425961951767573E-8</v>
      </c>
      <c r="AB72" s="25">
        <f t="shared" si="39"/>
        <v>38.897963072368078</v>
      </c>
      <c r="AC72" s="76">
        <f t="shared" si="34"/>
        <v>37.897646209468569</v>
      </c>
      <c r="AD72" s="33">
        <f t="shared" si="28"/>
        <v>99.450477966241095</v>
      </c>
      <c r="AE72" s="52">
        <f t="shared" si="58"/>
        <v>0.13015247590865897</v>
      </c>
      <c r="AF72" s="53">
        <f t="shared" si="59"/>
        <v>2.497569318482296</v>
      </c>
      <c r="AG72" s="82">
        <f t="shared" si="60"/>
        <v>2.4427330609744732E-9</v>
      </c>
      <c r="AH72" s="6">
        <f t="shared" si="61"/>
        <v>25.956900396978082</v>
      </c>
      <c r="AI72" s="9">
        <f t="shared" si="40"/>
        <v>4.6874983389588469E-8</v>
      </c>
      <c r="AJ72" s="60">
        <f t="shared" si="62"/>
        <v>55.145714502696372</v>
      </c>
      <c r="AK72" s="58">
        <f t="shared" si="63"/>
        <v>3.4033907025943222E-8</v>
      </c>
      <c r="AL72" s="61">
        <f t="shared" si="64"/>
        <v>1.876824120263977E-6</v>
      </c>
      <c r="AN72" s="166">
        <f t="shared" si="65"/>
        <v>1.0146632776302841E-3</v>
      </c>
      <c r="AO72" s="167">
        <f t="shared" si="66"/>
        <v>5.7821675806348489</v>
      </c>
      <c r="AP72" s="299">
        <f t="shared" si="67"/>
        <v>0</v>
      </c>
      <c r="AQ72" s="168">
        <f t="shared" si="41"/>
        <v>0</v>
      </c>
      <c r="AR72" s="168">
        <f t="shared" si="68"/>
        <v>0</v>
      </c>
      <c r="AS72" s="169">
        <f t="shared" si="42"/>
        <v>0</v>
      </c>
      <c r="AT72" s="168">
        <f t="shared" si="69"/>
        <v>17.098851031332003</v>
      </c>
      <c r="AU72" s="170">
        <f t="shared" si="43"/>
        <v>0</v>
      </c>
    </row>
    <row r="73" spans="2:47" x14ac:dyDescent="0.2">
      <c r="B73" s="34">
        <f>IF(AND((G73-B$6)*(G72-B$6)&lt;=0,ISNUMBER(SWeRF!C74)),(F72+(B$6-G72)*(F73-F72)/(G73-G72)),0)</f>
        <v>0</v>
      </c>
      <c r="C73" s="34">
        <f>IF(AND((G73-C$6)*(G72-C$6)&lt;=0,ISNUMBER(SWeRF!C74)),(F72+(C$6-G72)*(F73-F72)/(G73-G72)),0)</f>
        <v>0</v>
      </c>
      <c r="D73" s="322">
        <f>IF(AND((G73-D$6)*(G72-D$6)&lt;=0,ISNUMBER(SWeRF!C74)),(F72+(D$6-G72)*(F73-F72)/(G73-G72)),0)</f>
        <v>0</v>
      </c>
      <c r="E73" s="34">
        <f>IF(AND((G73-E$6)*(G72-E$6)&lt;=0,ISNUMBER(SWeRF!C74)),(F72+(E$6-G72)*(F73-F72)/(G73-G72)),0)</f>
        <v>0</v>
      </c>
      <c r="F73" s="100">
        <f>IF(ISNUMBER(SWeRF!C74),SWeRF!C74,F72)</f>
        <v>25.170418682545115</v>
      </c>
      <c r="G73" s="32">
        <f>IF(ISNUMBER(SWeRF!D74),SWeRF!D74,G72)</f>
        <v>99.557809257725992</v>
      </c>
      <c r="H73" s="76">
        <f t="shared" si="20"/>
        <v>24.524331682886398</v>
      </c>
      <c r="I73" s="35">
        <f t="shared" si="44"/>
        <v>0.10733129148489695</v>
      </c>
      <c r="J73" s="35">
        <f t="shared" si="45"/>
        <v>4.3765225847028901E-3</v>
      </c>
      <c r="K73" s="36">
        <f t="shared" si="46"/>
        <v>2.0635379495683357</v>
      </c>
      <c r="L73" s="144"/>
      <c r="M73" s="25">
        <f t="shared" si="47"/>
        <v>52.797915652801215</v>
      </c>
      <c r="N73" s="33">
        <f t="shared" si="24"/>
        <v>51.44267212894168</v>
      </c>
      <c r="O73" s="33">
        <f t="shared" si="48"/>
        <v>99.557809257725992</v>
      </c>
      <c r="P73" s="52">
        <f t="shared" si="49"/>
        <v>0.10733129148489695</v>
      </c>
      <c r="Q73" s="53">
        <f t="shared" si="50"/>
        <v>2.0635379495683344</v>
      </c>
      <c r="R73" s="82">
        <f t="shared" si="51"/>
        <v>2.1760900722198181E-11</v>
      </c>
      <c r="S73" s="6">
        <f t="shared" si="52"/>
        <v>17.017600723299903</v>
      </c>
      <c r="T73" s="9">
        <f t="shared" si="53"/>
        <v>4.1837234822953415E-10</v>
      </c>
      <c r="U73" s="60">
        <f t="shared" si="54"/>
        <v>52.282936784933931</v>
      </c>
      <c r="V73" s="58">
        <f t="shared" si="55"/>
        <v>3.8778458222310519E-10</v>
      </c>
      <c r="W73" s="61">
        <f t="shared" si="56"/>
        <v>2.0274516798542623E-8</v>
      </c>
      <c r="X73" s="60">
        <f t="shared" si="57"/>
        <v>52.104647650652282</v>
      </c>
      <c r="Y73" s="58">
        <f t="shared" ref="Y73:Y104" si="70">1-LOGNORMDIST(M73,LN(M),LN(S))</f>
        <v>2.5829283156753036E-10</v>
      </c>
      <c r="Z73" s="61">
        <f t="shared" ref="Z73:Z104" si="71">Y73*X73</f>
        <v>1.3458256979515446E-8</v>
      </c>
      <c r="AB73" s="25">
        <f t="shared" ref="AB73:AB104" si="72">F73*SQRT(AC$3/1000)</f>
        <v>40.974473006186827</v>
      </c>
      <c r="AC73" s="76">
        <f t="shared" si="34"/>
        <v>39.922719570495168</v>
      </c>
      <c r="AD73" s="33">
        <f t="shared" si="28"/>
        <v>99.557809257725992</v>
      </c>
      <c r="AE73" s="52">
        <f t="shared" si="58"/>
        <v>0.10733129148489695</v>
      </c>
      <c r="AF73" s="53">
        <f t="shared" si="59"/>
        <v>2.0635379495683339</v>
      </c>
      <c r="AG73" s="82">
        <f t="shared" si="60"/>
        <v>9.6696065133752679E-10</v>
      </c>
      <c r="AH73" s="6">
        <f t="shared" si="61"/>
        <v>25.956900397945041</v>
      </c>
      <c r="AI73" s="9">
        <f t="shared" ref="AI73:AI104" si="73">IF(F73=F72,0,AG73/(F73-F72)*H73)</f>
        <v>1.8590664215151814E-8</v>
      </c>
      <c r="AJ73" s="60">
        <f t="shared" si="62"/>
        <v>54.556978668353281</v>
      </c>
      <c r="AK73" s="58">
        <f t="shared" si="63"/>
        <v>1.6513234002424326E-8</v>
      </c>
      <c r="AL73" s="61">
        <f t="shared" si="64"/>
        <v>9.0091215521579008E-7</v>
      </c>
      <c r="AN73" s="166">
        <f t="shared" si="65"/>
        <v>1.1259982221536059E-3</v>
      </c>
      <c r="AO73" s="167">
        <f t="shared" si="66"/>
        <v>6.41662171040094</v>
      </c>
      <c r="AP73" s="299">
        <f t="shared" si="67"/>
        <v>0</v>
      </c>
      <c r="AQ73" s="168">
        <f t="shared" ref="AQ73:AQ104" si="74">I73*AP73*h/HH</f>
        <v>0</v>
      </c>
      <c r="AR73" s="168">
        <f t="shared" si="68"/>
        <v>0</v>
      </c>
      <c r="AS73" s="169">
        <f t="shared" ref="AS73:AS104" si="75">I73*AP73</f>
        <v>0</v>
      </c>
      <c r="AT73" s="168">
        <f t="shared" si="69"/>
        <v>17.098851031332003</v>
      </c>
      <c r="AU73" s="170">
        <f t="shared" si="43"/>
        <v>0</v>
      </c>
    </row>
    <row r="74" spans="2:47" x14ac:dyDescent="0.2">
      <c r="B74" s="34">
        <f>IF(AND((G74-B$6)*(G73-B$6)&lt;=0,ISNUMBER(SWeRF!C75)),(F73+(B$6-G73)*(F74-F73)/(G74-G73)),0)</f>
        <v>0</v>
      </c>
      <c r="C74" s="34">
        <f>IF(AND((G74-C$6)*(G73-C$6)&lt;=0,ISNUMBER(SWeRF!C75)),(F73+(C$6-G73)*(F74-F73)/(G74-G73)),0)</f>
        <v>0</v>
      </c>
      <c r="D74" s="322">
        <f>IF(AND((G74-D$6)*(G73-D$6)&lt;=0,ISNUMBER(SWeRF!C75)),(F73+(D$6-G73)*(F74-F73)/(G74-G73)),0)</f>
        <v>0</v>
      </c>
      <c r="E74" s="34">
        <f>IF(AND((G74-E$6)*(G73-E$6)&lt;=0,ISNUMBER(SWeRF!C75)),(F73+(E$6-G73)*(F74-F73)/(G74-G73)),0)</f>
        <v>0</v>
      </c>
      <c r="F74" s="100">
        <f>IF(ISNUMBER(SWeRF!C75),SWeRF!C75,F73)</f>
        <v>26.511632344145255</v>
      </c>
      <c r="G74" s="32">
        <f>IF(ISNUMBER(SWeRF!D75),SWeRF!D75,G73)</f>
        <v>99.645863977956381</v>
      </c>
      <c r="H74" s="76">
        <f t="shared" ref="H74:H110" si="76">SQRT(F74*F73)</f>
        <v>25.832322506113169</v>
      </c>
      <c r="I74" s="35">
        <f t="shared" si="44"/>
        <v>8.8054720230388739E-2</v>
      </c>
      <c r="J74" s="35">
        <f t="shared" si="45"/>
        <v>3.4087031938204843E-3</v>
      </c>
      <c r="K74" s="36">
        <f t="shared" si="46"/>
        <v>1.6959698490270227</v>
      </c>
      <c r="L74" s="144"/>
      <c r="M74" s="25">
        <f t="shared" si="47"/>
        <v>55.611269163947043</v>
      </c>
      <c r="N74" s="33">
        <f t="shared" ref="N74:N110" si="77">H74*SQRT(N$3/1000)</f>
        <v>54.186336826392875</v>
      </c>
      <c r="O74" s="33">
        <f t="shared" si="48"/>
        <v>99.645863977956381</v>
      </c>
      <c r="P74" s="52">
        <f t="shared" si="49"/>
        <v>8.8054720230388739E-2</v>
      </c>
      <c r="Q74" s="53">
        <f t="shared" si="50"/>
        <v>1.6959698490270236</v>
      </c>
      <c r="R74" s="82">
        <f t="shared" si="51"/>
        <v>7.8421306282275265E-12</v>
      </c>
      <c r="S74" s="6">
        <f t="shared" si="52"/>
        <v>17.017600723307744</v>
      </c>
      <c r="T74" s="9">
        <f t="shared" si="53"/>
        <v>1.5104263647430492E-10</v>
      </c>
      <c r="U74" s="60">
        <f t="shared" si="54"/>
        <v>51.936423656680844</v>
      </c>
      <c r="V74" s="58">
        <f t="shared" si="55"/>
        <v>1.7147838704545393E-10</v>
      </c>
      <c r="W74" s="61">
        <f t="shared" si="56"/>
        <v>8.9059741575569877E-9</v>
      </c>
      <c r="X74" s="60">
        <f t="shared" si="57"/>
        <v>51.777747041488396</v>
      </c>
      <c r="Y74" s="58">
        <f t="shared" si="70"/>
        <v>1.1338763261647955E-10</v>
      </c>
      <c r="Z74" s="61">
        <f t="shared" si="71"/>
        <v>5.8709561592492972E-9</v>
      </c>
      <c r="AB74" s="25">
        <f t="shared" si="72"/>
        <v>43.157810664009489</v>
      </c>
      <c r="AC74" s="76">
        <f t="shared" si="34"/>
        <v>42.051974365760508</v>
      </c>
      <c r="AD74" s="33">
        <f t="shared" ref="AD74:AD110" si="78">G74</f>
        <v>99.645863977956381</v>
      </c>
      <c r="AE74" s="52">
        <f t="shared" si="58"/>
        <v>8.8054720230388739E-2</v>
      </c>
      <c r="AF74" s="53">
        <f t="shared" si="59"/>
        <v>1.6959698490270259</v>
      </c>
      <c r="AG74" s="82">
        <f t="shared" si="60"/>
        <v>3.755083158511668E-10</v>
      </c>
      <c r="AH74" s="6">
        <f t="shared" si="61"/>
        <v>25.956900398320549</v>
      </c>
      <c r="AI74" s="9">
        <f t="shared" si="73"/>
        <v>7.2324434178681333E-9</v>
      </c>
      <c r="AJ74" s="60">
        <f t="shared" si="62"/>
        <v>54.010454367417715</v>
      </c>
      <c r="AK74" s="58">
        <f t="shared" si="63"/>
        <v>7.8956717830536149E-9</v>
      </c>
      <c r="AL74" s="61">
        <f t="shared" si="64"/>
        <v>4.2644882053872494E-7</v>
      </c>
      <c r="AN74" s="166">
        <f t="shared" si="65"/>
        <v>1.2493100985598252E-3</v>
      </c>
      <c r="AO74" s="167">
        <f t="shared" si="66"/>
        <v>7.1193276718589189</v>
      </c>
      <c r="AP74" s="299">
        <f t="shared" si="67"/>
        <v>0</v>
      </c>
      <c r="AQ74" s="168">
        <f t="shared" si="74"/>
        <v>0</v>
      </c>
      <c r="AR74" s="168">
        <f t="shared" si="68"/>
        <v>0</v>
      </c>
      <c r="AS74" s="169">
        <f t="shared" si="75"/>
        <v>0</v>
      </c>
      <c r="AT74" s="168">
        <f t="shared" si="69"/>
        <v>17.098851031332003</v>
      </c>
      <c r="AU74" s="170">
        <f t="shared" ref="AU74:AU110" si="79">IF(F74=F73,0,AS74/(F74-F73)*H74)</f>
        <v>0</v>
      </c>
    </row>
    <row r="75" spans="2:47" x14ac:dyDescent="0.2">
      <c r="B75" s="34">
        <f>IF(AND((G75-B$6)*(G74-B$6)&lt;=0,ISNUMBER(SWeRF!C76)),(F74+(B$6-G74)*(F75-F74)/(G75-G74)),0)</f>
        <v>0</v>
      </c>
      <c r="C75" s="34">
        <f>IF(AND((G75-C$6)*(G74-C$6)&lt;=0,ISNUMBER(SWeRF!C76)),(F74+(C$6-G74)*(F75-F74)/(G75-G74)),0)</f>
        <v>0</v>
      </c>
      <c r="D75" s="322">
        <f>IF(AND((G75-D$6)*(G74-D$6)&lt;=0,ISNUMBER(SWeRF!C76)),(F74+(D$6-G74)*(F75-F74)/(G75-G74)),0)</f>
        <v>0</v>
      </c>
      <c r="E75" s="34">
        <f>IF(AND((G75-E$6)*(G74-E$6)&lt;=0,ISNUMBER(SWeRF!C76)),(F74+(E$6-G74)*(F75-F74)/(G75-G74)),0)</f>
        <v>0</v>
      </c>
      <c r="F75" s="100">
        <f>IF(ISNUMBER(SWeRF!C76),SWeRF!C76,F74)</f>
        <v>27.92184582151236</v>
      </c>
      <c r="G75" s="32">
        <f>IF(ISNUMBER(SWeRF!D76),SWeRF!D76,G74)</f>
        <v>99.717731726622233</v>
      </c>
      <c r="H75" s="76">
        <f t="shared" si="76"/>
        <v>27.207603914895632</v>
      </c>
      <c r="I75" s="35">
        <f t="shared" si="44"/>
        <v>7.1867748665852105E-2</v>
      </c>
      <c r="J75" s="35">
        <f t="shared" si="45"/>
        <v>2.6414582074427333E-3</v>
      </c>
      <c r="K75" s="36">
        <f t="shared" si="46"/>
        <v>1.3865625817209228</v>
      </c>
      <c r="L75" s="144"/>
      <c r="M75" s="25">
        <f t="shared" si="47"/>
        <v>58.569357909689877</v>
      </c>
      <c r="N75" s="33">
        <f t="shared" si="77"/>
        <v>57.071151446902789</v>
      </c>
      <c r="O75" s="33">
        <f t="shared" si="48"/>
        <v>99.717731726622233</v>
      </c>
      <c r="P75" s="52">
        <f t="shared" si="49"/>
        <v>7.1867748665852105E-2</v>
      </c>
      <c r="Q75" s="53">
        <f t="shared" si="50"/>
        <v>1.3865625817209228</v>
      </c>
      <c r="R75" s="82">
        <f t="shared" si="51"/>
        <v>2.7727834556764092E-12</v>
      </c>
      <c r="S75" s="6">
        <f t="shared" si="52"/>
        <v>17.017600723310515</v>
      </c>
      <c r="T75" s="9">
        <f t="shared" si="53"/>
        <v>5.3496009798933926E-11</v>
      </c>
      <c r="U75" s="60">
        <f t="shared" si="54"/>
        <v>51.628654019217699</v>
      </c>
      <c r="V75" s="58">
        <f t="shared" si="55"/>
        <v>7.4729333832124212E-11</v>
      </c>
      <c r="W75" s="61">
        <f t="shared" si="56"/>
        <v>3.8581749215053609E-9</v>
      </c>
      <c r="X75" s="60">
        <f t="shared" si="57"/>
        <v>51.488637885207808</v>
      </c>
      <c r="Y75" s="58">
        <f t="shared" si="70"/>
        <v>4.9054760253852692E-11</v>
      </c>
      <c r="Z75" s="61">
        <f t="shared" si="71"/>
        <v>2.525762787256306E-9</v>
      </c>
      <c r="AB75" s="25">
        <f t="shared" si="72"/>
        <v>45.453471884035594</v>
      </c>
      <c r="AC75" s="76">
        <f t="shared" ref="AC75:AC110" si="80">SQRT(AB75*AB74)</f>
        <v>44.290770298032598</v>
      </c>
      <c r="AD75" s="33">
        <f t="shared" si="78"/>
        <v>99.717731726622233</v>
      </c>
      <c r="AE75" s="52">
        <f t="shared" si="58"/>
        <v>7.1867748665852105E-2</v>
      </c>
      <c r="AF75" s="53">
        <f t="shared" si="59"/>
        <v>1.3865625817209206</v>
      </c>
      <c r="AG75" s="82">
        <f t="shared" si="60"/>
        <v>1.4306089382667005E-10</v>
      </c>
      <c r="AH75" s="6">
        <f t="shared" si="61"/>
        <v>25.95690039846361</v>
      </c>
      <c r="AI75" s="9">
        <f t="shared" si="73"/>
        <v>2.760109868056329E-9</v>
      </c>
      <c r="AJ75" s="60">
        <f t="shared" si="62"/>
        <v>53.506354127554623</v>
      </c>
      <c r="AK75" s="58">
        <f t="shared" si="63"/>
        <v>3.7203305991440061E-9</v>
      </c>
      <c r="AL75" s="61">
        <f t="shared" si="64"/>
        <v>1.9906132650937666E-7</v>
      </c>
      <c r="AN75" s="166">
        <f t="shared" si="65"/>
        <v>1.3858746012610488E-3</v>
      </c>
      <c r="AO75" s="167">
        <f t="shared" si="66"/>
        <v>7.8975551465229401</v>
      </c>
      <c r="AP75" s="299">
        <f t="shared" si="67"/>
        <v>0</v>
      </c>
      <c r="AQ75" s="168">
        <f t="shared" si="74"/>
        <v>0</v>
      </c>
      <c r="AR75" s="168">
        <f t="shared" si="68"/>
        <v>0</v>
      </c>
      <c r="AS75" s="169">
        <f t="shared" si="75"/>
        <v>0</v>
      </c>
      <c r="AT75" s="168">
        <f t="shared" si="69"/>
        <v>17.098851031332003</v>
      </c>
      <c r="AU75" s="170">
        <f t="shared" si="79"/>
        <v>0</v>
      </c>
    </row>
    <row r="76" spans="2:47" x14ac:dyDescent="0.2">
      <c r="B76" s="34">
        <f>IF(AND((G76-B$6)*(G75-B$6)&lt;=0,ISNUMBER(SWeRF!C77)),(F75+(B$6-G75)*(F76-F75)/(G76-G75)),0)</f>
        <v>0</v>
      </c>
      <c r="C76" s="34">
        <f>IF(AND((G76-C$6)*(G75-C$6)&lt;=0,ISNUMBER(SWeRF!C77)),(F75+(C$6-G75)*(F76-F75)/(G76-G75)),0)</f>
        <v>0</v>
      </c>
      <c r="D76" s="322">
        <f>IF(AND((G76-D$6)*(G75-D$6)&lt;=0,ISNUMBER(SWeRF!C77)),(F75+(D$6-G75)*(F76-F75)/(G76-G75)),0)</f>
        <v>0</v>
      </c>
      <c r="E76" s="34">
        <f>IF(AND((G76-E$6)*(G75-E$6)&lt;=0,ISNUMBER(SWeRF!C77)),(F75+(E$6-G75)*(F76-F75)/(G76-G75)),0)</f>
        <v>0</v>
      </c>
      <c r="F76" s="100">
        <f>IF(ISNUMBER(SWeRF!C77),SWeRF!C77,F75)</f>
        <v>29.404608865675772</v>
      </c>
      <c r="G76" s="32">
        <f>IF(ISNUMBER(SWeRF!D77),SWeRF!D77,G75)</f>
        <v>99.776086037434325</v>
      </c>
      <c r="H76" s="76">
        <f t="shared" si="76"/>
        <v>28.653637730474543</v>
      </c>
      <c r="I76" s="35">
        <f t="shared" si="44"/>
        <v>5.8354310812092081E-2</v>
      </c>
      <c r="J76" s="35">
        <f t="shared" si="45"/>
        <v>2.0365410968405393E-3</v>
      </c>
      <c r="K76" s="36">
        <f t="shared" si="46"/>
        <v>1.1276672214100076</v>
      </c>
      <c r="L76" s="144"/>
      <c r="M76" s="25">
        <f t="shared" si="47"/>
        <v>61.67962791060647</v>
      </c>
      <c r="N76" s="33">
        <f t="shared" si="77"/>
        <v>60.104377567967603</v>
      </c>
      <c r="O76" s="33">
        <f t="shared" si="48"/>
        <v>99.776086037434325</v>
      </c>
      <c r="P76" s="52">
        <f t="shared" si="49"/>
        <v>5.8354310812092081E-2</v>
      </c>
      <c r="Q76" s="53">
        <f t="shared" si="50"/>
        <v>1.1276672214100076</v>
      </c>
      <c r="R76" s="82">
        <f t="shared" si="51"/>
        <v>9.6186125478198142E-13</v>
      </c>
      <c r="S76" s="6">
        <f t="shared" si="52"/>
        <v>17.017600723311478</v>
      </c>
      <c r="T76" s="9">
        <f t="shared" si="53"/>
        <v>1.8587476974146342E-11</v>
      </c>
      <c r="U76" s="60">
        <f t="shared" si="54"/>
        <v>51.357656906913874</v>
      </c>
      <c r="V76" s="58">
        <f t="shared" si="55"/>
        <v>3.2094771285073875E-11</v>
      </c>
      <c r="W76" s="61">
        <f t="shared" si="56"/>
        <v>1.6483122521646954E-9</v>
      </c>
      <c r="X76" s="60">
        <f t="shared" si="57"/>
        <v>51.235215354253206</v>
      </c>
      <c r="Y76" s="58">
        <f t="shared" si="70"/>
        <v>2.0914825427098549E-11</v>
      </c>
      <c r="Z76" s="61">
        <f t="shared" si="71"/>
        <v>1.0715755848540049E-9</v>
      </c>
      <c r="AB76" s="25">
        <f t="shared" si="72"/>
        <v>47.867235242281879</v>
      </c>
      <c r="AC76" s="76">
        <f t="shared" si="80"/>
        <v>46.644742804002867</v>
      </c>
      <c r="AD76" s="33">
        <f t="shared" si="78"/>
        <v>99.776086037434325</v>
      </c>
      <c r="AE76" s="52">
        <f t="shared" si="58"/>
        <v>5.8354310812092081E-2</v>
      </c>
      <c r="AF76" s="53">
        <f t="shared" si="59"/>
        <v>1.1276672214100081</v>
      </c>
      <c r="AG76" s="82">
        <f t="shared" si="60"/>
        <v>5.3471362730211937E-11</v>
      </c>
      <c r="AH76" s="6">
        <f t="shared" si="61"/>
        <v>25.956900398517082</v>
      </c>
      <c r="AI76" s="9">
        <f t="shared" si="73"/>
        <v>1.0333067462513825E-9</v>
      </c>
      <c r="AJ76" s="60">
        <f t="shared" si="62"/>
        <v>53.044505337383029</v>
      </c>
      <c r="AK76" s="58">
        <f t="shared" si="63"/>
        <v>1.7274596197935921E-9</v>
      </c>
      <c r="AL76" s="61">
        <f t="shared" si="64"/>
        <v>9.1632241022254848E-8</v>
      </c>
      <c r="AN76" s="166">
        <f t="shared" si="65"/>
        <v>1.5371026596163117E-3</v>
      </c>
      <c r="AO76" s="167">
        <f t="shared" si="66"/>
        <v>8.7593444667655653</v>
      </c>
      <c r="AP76" s="299">
        <f t="shared" si="67"/>
        <v>0</v>
      </c>
      <c r="AQ76" s="168">
        <f t="shared" si="74"/>
        <v>0</v>
      </c>
      <c r="AR76" s="168">
        <f t="shared" si="68"/>
        <v>0</v>
      </c>
      <c r="AS76" s="169">
        <f t="shared" si="75"/>
        <v>0</v>
      </c>
      <c r="AT76" s="168">
        <f t="shared" si="69"/>
        <v>17.098851031332003</v>
      </c>
      <c r="AU76" s="170">
        <f t="shared" si="79"/>
        <v>0</v>
      </c>
    </row>
    <row r="77" spans="2:47" x14ac:dyDescent="0.2">
      <c r="B77" s="34">
        <f>IF(AND((G77-B$6)*(G76-B$6)&lt;=0,ISNUMBER(SWeRF!C78)),(F76+(B$6-G76)*(F77-F76)/(G77-G76)),0)</f>
        <v>0</v>
      </c>
      <c r="C77" s="34">
        <f>IF(AND((G77-C$6)*(G76-C$6)&lt;=0,ISNUMBER(SWeRF!C78)),(F76+(C$6-G76)*(F77-F76)/(G77-G76)),0)</f>
        <v>0</v>
      </c>
      <c r="D77" s="322">
        <f>IF(AND((G77-D$6)*(G76-D$6)&lt;=0,ISNUMBER(SWeRF!C78)),(F76+(D$6-G76)*(F77-F76)/(G77-G76)),0)</f>
        <v>0</v>
      </c>
      <c r="E77" s="34">
        <f>IF(AND((G77-E$6)*(G76-E$6)&lt;=0,ISNUMBER(SWeRF!C78)),(F76+(E$6-G76)*(F77-F76)/(G77-G76)),0)</f>
        <v>0</v>
      </c>
      <c r="F77" s="100">
        <f>IF(ISNUMBER(SWeRF!C78),SWeRF!C78,F76)</f>
        <v>30.963653847462183</v>
      </c>
      <c r="G77" s="32">
        <f>IF(ISNUMBER(SWeRF!D78),SWeRF!D78,G76)</f>
        <v>99.823224066846393</v>
      </c>
      <c r="H77" s="76">
        <f t="shared" si="76"/>
        <v>30.174063870098809</v>
      </c>
      <c r="I77" s="35">
        <f t="shared" si="44"/>
        <v>4.7138029412067795E-2</v>
      </c>
      <c r="J77" s="35">
        <f t="shared" si="45"/>
        <v>1.5622035405969807E-3</v>
      </c>
      <c r="K77" s="36">
        <f t="shared" si="46"/>
        <v>0.91231871229305661</v>
      </c>
      <c r="L77" s="144"/>
      <c r="M77" s="25">
        <f t="shared" si="47"/>
        <v>64.949908253792188</v>
      </c>
      <c r="N77" s="33">
        <f t="shared" si="77"/>
        <v>63.293650344421842</v>
      </c>
      <c r="O77" s="33">
        <f t="shared" si="48"/>
        <v>99.823224066846393</v>
      </c>
      <c r="P77" s="52">
        <f t="shared" si="49"/>
        <v>4.7138029412067795E-2</v>
      </c>
      <c r="Q77" s="53">
        <f t="shared" si="50"/>
        <v>0.91231871229305739</v>
      </c>
      <c r="R77" s="82">
        <f t="shared" si="51"/>
        <v>3.2734405373428119E-13</v>
      </c>
      <c r="S77" s="6">
        <f t="shared" si="52"/>
        <v>17.017600723311805</v>
      </c>
      <c r="T77" s="9">
        <f t="shared" si="53"/>
        <v>6.3354813365022259E-12</v>
      </c>
      <c r="U77" s="60">
        <f t="shared" si="54"/>
        <v>51.121204983133282</v>
      </c>
      <c r="V77" s="58">
        <f t="shared" si="55"/>
        <v>1.3584133817801103E-11</v>
      </c>
      <c r="W77" s="61">
        <f t="shared" si="56"/>
        <v>6.9443728941812306E-10</v>
      </c>
      <c r="X77" s="60">
        <f t="shared" si="57"/>
        <v>51.015142006105393</v>
      </c>
      <c r="Y77" s="58">
        <f t="shared" si="70"/>
        <v>8.7878593291179641E-12</v>
      </c>
      <c r="Z77" s="61">
        <f t="shared" si="71"/>
        <v>4.4831389160463101E-10</v>
      </c>
      <c r="AB77" s="25">
        <f t="shared" si="72"/>
        <v>50.405176598256929</v>
      </c>
      <c r="AC77" s="76">
        <f t="shared" si="80"/>
        <v>49.119817239659248</v>
      </c>
      <c r="AD77" s="33">
        <f t="shared" si="78"/>
        <v>99.823224066846393</v>
      </c>
      <c r="AE77" s="52">
        <f t="shared" si="58"/>
        <v>4.7138029412067795E-2</v>
      </c>
      <c r="AF77" s="53">
        <f t="shared" si="59"/>
        <v>0.91231871229305683</v>
      </c>
      <c r="AG77" s="82">
        <f t="shared" si="60"/>
        <v>1.9607597061856249E-11</v>
      </c>
      <c r="AH77" s="6">
        <f t="shared" si="61"/>
        <v>25.956900398536689</v>
      </c>
      <c r="AI77" s="9">
        <f t="shared" si="73"/>
        <v>3.7948929825340161E-10</v>
      </c>
      <c r="AJ77" s="60">
        <f t="shared" si="62"/>
        <v>52.624351901907239</v>
      </c>
      <c r="AK77" s="58">
        <f t="shared" si="63"/>
        <v>7.9043505074594123E-10</v>
      </c>
      <c r="AL77" s="61">
        <f t="shared" si="64"/>
        <v>4.1596132266056318E-8</v>
      </c>
      <c r="AN77" s="166">
        <f t="shared" si="65"/>
        <v>1.7045547412808924E-3</v>
      </c>
      <c r="AO77" s="167">
        <f t="shared" si="66"/>
        <v>9.7135881249888563</v>
      </c>
      <c r="AP77" s="299">
        <f t="shared" si="67"/>
        <v>0</v>
      </c>
      <c r="AQ77" s="168">
        <f t="shared" si="74"/>
        <v>0</v>
      </c>
      <c r="AR77" s="168">
        <f t="shared" si="68"/>
        <v>0</v>
      </c>
      <c r="AS77" s="169">
        <f t="shared" si="75"/>
        <v>0</v>
      </c>
      <c r="AT77" s="168">
        <f t="shared" si="69"/>
        <v>17.098851031332003</v>
      </c>
      <c r="AU77" s="170">
        <f t="shared" si="79"/>
        <v>0</v>
      </c>
    </row>
    <row r="78" spans="2:47" x14ac:dyDescent="0.2">
      <c r="B78" s="34">
        <f>IF(AND((G78-B$6)*(G77-B$6)&lt;=0,ISNUMBER(SWeRF!C79)),(F77+(B$6-G77)*(F78-F77)/(G78-G77)),0)</f>
        <v>0</v>
      </c>
      <c r="C78" s="34">
        <f>IF(AND((G78-C$6)*(G77-C$6)&lt;=0,ISNUMBER(SWeRF!C79)),(F77+(C$6-G77)*(F78-F77)/(G78-G77)),0)</f>
        <v>0</v>
      </c>
      <c r="D78" s="322">
        <f>IF(AND((G78-D$6)*(G77-D$6)&lt;=0,ISNUMBER(SWeRF!C79)),(F77+(D$6-G77)*(F78-F77)/(G78-G77)),0)</f>
        <v>0</v>
      </c>
      <c r="E78" s="34">
        <f>IF(AND((G78-E$6)*(G77-E$6)&lt;=0,ISNUMBER(SWeRF!C79)),(F77+(E$6-G77)*(F78-F77)/(G78-G77)),0)</f>
        <v>0</v>
      </c>
      <c r="F78" s="100">
        <f>IF(ISNUMBER(SWeRF!C79),SWeRF!C79,F77)</f>
        <v>32.602905152518019</v>
      </c>
      <c r="G78" s="32">
        <f>IF(ISNUMBER(SWeRF!D79),SWeRF!D79,G77)</f>
        <v>99.86110592311573</v>
      </c>
      <c r="H78" s="76">
        <f t="shared" si="76"/>
        <v>31.772709509329058</v>
      </c>
      <c r="I78" s="35">
        <f t="shared" si="44"/>
        <v>3.7881856269336822E-2</v>
      </c>
      <c r="J78" s="35">
        <f t="shared" si="45"/>
        <v>1.1922765434346733E-3</v>
      </c>
      <c r="K78" s="36">
        <f t="shared" si="46"/>
        <v>0.73424325556891779</v>
      </c>
      <c r="L78" s="144"/>
      <c r="M78" s="25">
        <f t="shared" si="47"/>
        <v>68.388430800026256</v>
      </c>
      <c r="N78" s="33">
        <f t="shared" si="77"/>
        <v>66.646997727448465</v>
      </c>
      <c r="O78" s="33">
        <f t="shared" si="48"/>
        <v>99.86110592311573</v>
      </c>
      <c r="P78" s="52">
        <f t="shared" si="49"/>
        <v>3.7881856269336822E-2</v>
      </c>
      <c r="Q78" s="53">
        <f t="shared" si="50"/>
        <v>0.7342432555689159</v>
      </c>
      <c r="R78" s="82">
        <f t="shared" si="51"/>
        <v>1.0928983043740329E-13</v>
      </c>
      <c r="S78" s="6">
        <f t="shared" si="52"/>
        <v>17.017600723311915</v>
      </c>
      <c r="T78" s="9">
        <f t="shared" si="53"/>
        <v>2.1183048774166845E-12</v>
      </c>
      <c r="U78" s="60">
        <f t="shared" si="54"/>
        <v>50.916863329966525</v>
      </c>
      <c r="V78" s="58">
        <f t="shared" si="55"/>
        <v>5.6661342284769489E-12</v>
      </c>
      <c r="W78" s="61">
        <f t="shared" si="56"/>
        <v>2.8850178212060613E-10</v>
      </c>
      <c r="X78" s="60">
        <f t="shared" si="57"/>
        <v>50.825898955726124</v>
      </c>
      <c r="Y78" s="58">
        <f t="shared" si="70"/>
        <v>3.6388669855114131E-12</v>
      </c>
      <c r="Z78" s="61">
        <f t="shared" si="71"/>
        <v>1.849486857189308E-10</v>
      </c>
      <c r="AB78" s="25">
        <f t="shared" si="72"/>
        <v>53.073684388949552</v>
      </c>
      <c r="AC78" s="76">
        <f t="shared" si="80"/>
        <v>51.72222379543588</v>
      </c>
      <c r="AD78" s="33">
        <f t="shared" si="78"/>
        <v>99.86110592311573</v>
      </c>
      <c r="AE78" s="52">
        <f t="shared" si="58"/>
        <v>3.7881856269336822E-2</v>
      </c>
      <c r="AF78" s="53">
        <f t="shared" si="59"/>
        <v>0.73424325556891912</v>
      </c>
      <c r="AG78" s="82">
        <f t="shared" si="60"/>
        <v>7.0539077845477085E-12</v>
      </c>
      <c r="AH78" s="6">
        <f t="shared" si="61"/>
        <v>25.956900398543741</v>
      </c>
      <c r="AI78" s="9">
        <f t="shared" si="73"/>
        <v>1.3672202807024464E-10</v>
      </c>
      <c r="AJ78" s="60">
        <f t="shared" si="62"/>
        <v>52.244964207145287</v>
      </c>
      <c r="AK78" s="58">
        <f t="shared" si="63"/>
        <v>3.5641345430548199E-10</v>
      </c>
      <c r="AL78" s="61">
        <f t="shared" si="64"/>
        <v>1.8620808163134919E-8</v>
      </c>
      <c r="AN78" s="166">
        <f t="shared" si="65"/>
        <v>1.8899566666954416E-3</v>
      </c>
      <c r="AO78" s="167">
        <f t="shared" si="66"/>
        <v>10.770120894187885</v>
      </c>
      <c r="AP78" s="299">
        <f t="shared" si="67"/>
        <v>0</v>
      </c>
      <c r="AQ78" s="168">
        <f t="shared" si="74"/>
        <v>0</v>
      </c>
      <c r="AR78" s="168">
        <f t="shared" si="68"/>
        <v>0</v>
      </c>
      <c r="AS78" s="169">
        <f t="shared" si="75"/>
        <v>0</v>
      </c>
      <c r="AT78" s="168">
        <f t="shared" si="69"/>
        <v>17.098851031332003</v>
      </c>
      <c r="AU78" s="170">
        <f t="shared" si="79"/>
        <v>0</v>
      </c>
    </row>
    <row r="79" spans="2:47" x14ac:dyDescent="0.2">
      <c r="B79" s="34">
        <f>IF(AND((G79-B$6)*(G78-B$6)&lt;=0,ISNUMBER(SWeRF!C80)),(F78+(B$6-G78)*(F79-F78)/(G79-G78)),0)</f>
        <v>0</v>
      </c>
      <c r="C79" s="34">
        <f>IF(AND((G79-C$6)*(G78-C$6)&lt;=0,ISNUMBER(SWeRF!C80)),(F78+(C$6-G78)*(F79-F78)/(G79-G78)),0)</f>
        <v>0</v>
      </c>
      <c r="D79" s="322">
        <f>IF(AND((G79-D$6)*(G78-D$6)&lt;=0,ISNUMBER(SWeRF!C80)),(F78+(D$6-G78)*(F79-F78)/(G79-G78)),0)</f>
        <v>0</v>
      </c>
      <c r="E79" s="34">
        <f>IF(AND((G79-E$6)*(G78-E$6)&lt;=0,ISNUMBER(SWeRF!C80)),(F78+(E$6-G78)*(F79-F78)/(G79-G78)),0)</f>
        <v>0</v>
      </c>
      <c r="F79" s="100">
        <f>IF(ISNUMBER(SWeRF!C80),SWeRF!C80,F78)</f>
        <v>34.326489059666251</v>
      </c>
      <c r="G79" s="32">
        <f>IF(ISNUMBER(SWeRF!D80),SWeRF!D80,G78)</f>
        <v>99.891392761328973</v>
      </c>
      <c r="H79" s="76">
        <f t="shared" si="76"/>
        <v>33.453598715702412</v>
      </c>
      <c r="I79" s="35">
        <f t="shared" si="44"/>
        <v>3.0286838213243072E-2</v>
      </c>
      <c r="J79" s="35">
        <f t="shared" si="45"/>
        <v>9.0533871918021993E-4</v>
      </c>
      <c r="K79" s="36">
        <f t="shared" si="46"/>
        <v>0.58784705969414552</v>
      </c>
      <c r="L79" s="144"/>
      <c r="M79" s="25">
        <f t="shared" si="47"/>
        <v>72.00385090478774</v>
      </c>
      <c r="N79" s="33">
        <f t="shared" si="77"/>
        <v>70.172860672324617</v>
      </c>
      <c r="O79" s="33">
        <f t="shared" si="48"/>
        <v>99.891392761328973</v>
      </c>
      <c r="P79" s="52">
        <f t="shared" si="49"/>
        <v>3.0286838213243072E-2</v>
      </c>
      <c r="Q79" s="53">
        <f t="shared" si="50"/>
        <v>0.58784705969414708</v>
      </c>
      <c r="R79" s="82">
        <f t="shared" si="51"/>
        <v>3.5794549091611136E-14</v>
      </c>
      <c r="S79" s="6">
        <f t="shared" si="52"/>
        <v>17.017600723311951</v>
      </c>
      <c r="T79" s="9">
        <f t="shared" si="53"/>
        <v>6.9474800533588737E-13</v>
      </c>
      <c r="U79" s="60">
        <f t="shared" si="54"/>
        <v>50.742042592692762</v>
      </c>
      <c r="V79" s="58">
        <f t="shared" si="55"/>
        <v>2.3291368833611159E-12</v>
      </c>
      <c r="W79" s="61">
        <f t="shared" si="56"/>
        <v>1.1818516293972142E-10</v>
      </c>
      <c r="X79" s="60">
        <f t="shared" si="57"/>
        <v>50.664840545115908</v>
      </c>
      <c r="Y79" s="58">
        <f t="shared" si="70"/>
        <v>1.4849232954361469E-12</v>
      </c>
      <c r="Z79" s="61">
        <f t="shared" si="71"/>
        <v>7.5233401985000418E-11</v>
      </c>
      <c r="AB79" s="25">
        <f t="shared" si="72"/>
        <v>55.879475709628622</v>
      </c>
      <c r="AC79" s="76">
        <f t="shared" si="80"/>
        <v>54.458513178683113</v>
      </c>
      <c r="AD79" s="33">
        <f t="shared" si="78"/>
        <v>99.891392761328973</v>
      </c>
      <c r="AE79" s="52">
        <f t="shared" si="58"/>
        <v>3.0286838213243072E-2</v>
      </c>
      <c r="AF79" s="53">
        <f t="shared" si="59"/>
        <v>0.58784705969414419</v>
      </c>
      <c r="AG79" s="82">
        <f t="shared" si="60"/>
        <v>2.4896169312585449E-12</v>
      </c>
      <c r="AH79" s="6">
        <f t="shared" si="61"/>
        <v>25.956900398546232</v>
      </c>
      <c r="AI79" s="9">
        <f t="shared" si="73"/>
        <v>4.8321781973437171E-11</v>
      </c>
      <c r="AJ79" s="60">
        <f t="shared" si="62"/>
        <v>51.905057543543862</v>
      </c>
      <c r="AK79" s="58">
        <f t="shared" si="63"/>
        <v>1.5836854050377269E-10</v>
      </c>
      <c r="AL79" s="61">
        <f t="shared" si="64"/>
        <v>8.2201282079353782E-9</v>
      </c>
      <c r="AN79" s="166">
        <f t="shared" si="65"/>
        <v>2.0952170942797718E-3</v>
      </c>
      <c r="AO79" s="167">
        <f t="shared" si="66"/>
        <v>11.939819469204037</v>
      </c>
      <c r="AP79" s="299">
        <f t="shared" si="67"/>
        <v>0</v>
      </c>
      <c r="AQ79" s="168">
        <f t="shared" si="74"/>
        <v>0</v>
      </c>
      <c r="AR79" s="168">
        <f t="shared" si="68"/>
        <v>0</v>
      </c>
      <c r="AS79" s="169">
        <f t="shared" si="75"/>
        <v>0</v>
      </c>
      <c r="AT79" s="168">
        <f t="shared" si="69"/>
        <v>17.098851031332003</v>
      </c>
      <c r="AU79" s="170">
        <f t="shared" si="79"/>
        <v>0</v>
      </c>
    </row>
    <row r="80" spans="2:47" x14ac:dyDescent="0.2">
      <c r="B80" s="34">
        <f>IF(AND((G80-B$6)*(G79-B$6)&lt;=0,ISNUMBER(SWeRF!C81)),(F79+(B$6-G79)*(F80-F79)/(G80-G79)),0)</f>
        <v>0</v>
      </c>
      <c r="C80" s="34">
        <f>IF(AND((G80-C$6)*(G79-C$6)&lt;=0,ISNUMBER(SWeRF!C81)),(F79+(C$6-G79)*(F80-F79)/(G80-G79)),0)</f>
        <v>0</v>
      </c>
      <c r="D80" s="322">
        <f>IF(AND((G80-D$6)*(G79-D$6)&lt;=0,ISNUMBER(SWeRF!C81)),(F79+(D$6-G79)*(F80-F79)/(G80-G79)),0)</f>
        <v>0</v>
      </c>
      <c r="E80" s="34">
        <f>IF(AND((G80-E$6)*(G79-E$6)&lt;=0,ISNUMBER(SWeRF!C81)),(F79+(E$6-G79)*(F80-F79)/(G80-G79)),0)</f>
        <v>0</v>
      </c>
      <c r="F80" s="100">
        <f>IF(ISNUMBER(SWeRF!C81),SWeRF!C81,F79)</f>
        <v>36.138744127463262</v>
      </c>
      <c r="G80" s="32">
        <f>IF(ISNUMBER(SWeRF!D81),SWeRF!D81,G79)</f>
        <v>99.915482980005493</v>
      </c>
      <c r="H80" s="76">
        <f t="shared" si="76"/>
        <v>35.220962578008084</v>
      </c>
      <c r="I80" s="35">
        <f t="shared" si="44"/>
        <v>2.4090218676519726E-2</v>
      </c>
      <c r="J80" s="35">
        <f t="shared" si="45"/>
        <v>6.8397388694770153E-4</v>
      </c>
      <c r="K80" s="36">
        <f t="shared" si="46"/>
        <v>0.46819054645169306</v>
      </c>
      <c r="L80" s="144"/>
      <c r="M80" s="25">
        <f t="shared" si="47"/>
        <v>75.805269205281149</v>
      </c>
      <c r="N80" s="33">
        <f t="shared" si="77"/>
        <v>73.880114385769346</v>
      </c>
      <c r="O80" s="33">
        <f t="shared" si="48"/>
        <v>99.915482980005493</v>
      </c>
      <c r="P80" s="52">
        <f t="shared" si="49"/>
        <v>2.4090218676519726E-2</v>
      </c>
      <c r="Q80" s="53">
        <f t="shared" si="50"/>
        <v>0.46819054645169267</v>
      </c>
      <c r="R80" s="82">
        <f t="shared" si="51"/>
        <v>1.1499188280411431E-14</v>
      </c>
      <c r="S80" s="6">
        <f t="shared" si="52"/>
        <v>17.017600723311961</v>
      </c>
      <c r="T80" s="9">
        <f t="shared" si="53"/>
        <v>2.2348536213181952E-13</v>
      </c>
      <c r="U80" s="60">
        <f t="shared" si="54"/>
        <v>50.594054711048933</v>
      </c>
      <c r="V80" s="58">
        <f t="shared" si="55"/>
        <v>9.4346752632645803E-13</v>
      </c>
      <c r="W80" s="61">
        <f t="shared" si="56"/>
        <v>4.773384764505882E-11</v>
      </c>
      <c r="X80" s="60">
        <f t="shared" si="57"/>
        <v>50.529250646785407</v>
      </c>
      <c r="Y80" s="58">
        <f t="shared" si="70"/>
        <v>5.9707794264340919E-13</v>
      </c>
      <c r="Z80" s="61">
        <f t="shared" si="71"/>
        <v>3.0169901019495786E-11</v>
      </c>
      <c r="AB80" s="25">
        <f t="shared" si="72"/>
        <v>58.829613221932625</v>
      </c>
      <c r="AC80" s="76">
        <f t="shared" si="80"/>
        <v>57.335573102933495</v>
      </c>
      <c r="AD80" s="33">
        <f t="shared" si="78"/>
        <v>99.915482980005493</v>
      </c>
      <c r="AE80" s="52">
        <f t="shared" si="58"/>
        <v>2.4090218676519726E-2</v>
      </c>
      <c r="AF80" s="53">
        <f t="shared" si="59"/>
        <v>0.46819054645169328</v>
      </c>
      <c r="AG80" s="82">
        <f t="shared" si="60"/>
        <v>8.6203299497869817E-13</v>
      </c>
      <c r="AH80" s="6">
        <f t="shared" si="61"/>
        <v>25.956900398547095</v>
      </c>
      <c r="AI80" s="9">
        <f t="shared" si="73"/>
        <v>1.6753509148169057E-11</v>
      </c>
      <c r="AJ80" s="60">
        <f t="shared" si="62"/>
        <v>51.603018828347004</v>
      </c>
      <c r="AK80" s="58">
        <f t="shared" si="63"/>
        <v>6.9343863984272502E-11</v>
      </c>
      <c r="AL80" s="61">
        <f t="shared" si="64"/>
        <v>3.5783527188107478E-9</v>
      </c>
      <c r="AN80" s="166">
        <f t="shared" si="65"/>
        <v>2.3224468527405381E-3</v>
      </c>
      <c r="AO80" s="167">
        <f t="shared" si="66"/>
        <v>13.234712633955066</v>
      </c>
      <c r="AP80" s="299">
        <f t="shared" si="67"/>
        <v>0</v>
      </c>
      <c r="AQ80" s="168">
        <f t="shared" si="74"/>
        <v>0</v>
      </c>
      <c r="AR80" s="168">
        <f t="shared" si="68"/>
        <v>0</v>
      </c>
      <c r="AS80" s="169">
        <f t="shared" si="75"/>
        <v>0</v>
      </c>
      <c r="AT80" s="168">
        <f t="shared" si="69"/>
        <v>17.098851031332003</v>
      </c>
      <c r="AU80" s="170">
        <f t="shared" si="79"/>
        <v>0</v>
      </c>
    </row>
    <row r="81" spans="2:47" x14ac:dyDescent="0.2">
      <c r="B81" s="34">
        <f>IF(AND((G81-B$6)*(G80-B$6)&lt;=0,ISNUMBER(SWeRF!C82)),(F80+(B$6-G80)*(F81-F80)/(G81-G80)),0)</f>
        <v>0</v>
      </c>
      <c r="C81" s="34">
        <f>IF(AND((G81-C$6)*(G80-C$6)&lt;=0,ISNUMBER(SWeRF!C82)),(F80+(C$6-G80)*(F81-F80)/(G81-G80)),0)</f>
        <v>0</v>
      </c>
      <c r="D81" s="322">
        <f>IF(AND((G81-D$6)*(G80-D$6)&lt;=0,ISNUMBER(SWeRF!C82)),(F80+(D$6-G80)*(F81-F80)/(G81-G80)),0)</f>
        <v>0</v>
      </c>
      <c r="E81" s="34">
        <f>IF(AND((G81-E$6)*(G80-E$6)&lt;=0,ISNUMBER(SWeRF!C82)),(F80+(E$6-G80)*(F81-F80)/(G81-G80)),0)</f>
        <v>0</v>
      </c>
      <c r="F81" s="100">
        <f>IF(ISNUMBER(SWeRF!C82),SWeRF!C82,F80)</f>
        <v>38.044232115100613</v>
      </c>
      <c r="G81" s="32">
        <f>IF(ISNUMBER(SWeRF!D82),SWeRF!D82,G80)</f>
        <v>99.93454604398984</v>
      </c>
      <c r="H81" s="76">
        <f t="shared" si="76"/>
        <v>37.079249856671069</v>
      </c>
      <c r="I81" s="35">
        <f t="shared" si="44"/>
        <v>1.906306398434765E-2</v>
      </c>
      <c r="J81" s="35">
        <f t="shared" si="45"/>
        <v>5.1411676498406677E-4</v>
      </c>
      <c r="K81" s="36">
        <f t="shared" si="46"/>
        <v>0.37095175466614355</v>
      </c>
      <c r="L81" s="144"/>
      <c r="M81" s="25">
        <f t="shared" si="47"/>
        <v>79.802254528313128</v>
      </c>
      <c r="N81" s="33">
        <f t="shared" si="77"/>
        <v>77.778090666376883</v>
      </c>
      <c r="O81" s="33">
        <f t="shared" si="48"/>
        <v>99.93454604398984</v>
      </c>
      <c r="P81" s="52">
        <f t="shared" si="49"/>
        <v>1.906306398434765E-2</v>
      </c>
      <c r="Q81" s="53">
        <f t="shared" si="50"/>
        <v>0.37095175466614366</v>
      </c>
      <c r="R81" s="82">
        <f t="shared" si="51"/>
        <v>3.6232102853405559E-15</v>
      </c>
      <c r="S81" s="6">
        <f t="shared" si="52"/>
        <v>17.017600723311965</v>
      </c>
      <c r="T81" s="9">
        <f t="shared" si="53"/>
        <v>7.0504731766890286E-14</v>
      </c>
      <c r="U81" s="60">
        <f t="shared" si="54"/>
        <v>50.470169300855069</v>
      </c>
      <c r="V81" s="58">
        <f t="shared" si="55"/>
        <v>3.765876499528531E-13</v>
      </c>
      <c r="W81" s="61">
        <f t="shared" si="56"/>
        <v>1.9006442449731642E-11</v>
      </c>
      <c r="X81" s="60">
        <f t="shared" si="57"/>
        <v>50.416398615876489</v>
      </c>
      <c r="Y81" s="58">
        <f t="shared" si="70"/>
        <v>2.3658852654762086E-13</v>
      </c>
      <c r="Z81" s="61">
        <f t="shared" si="71"/>
        <v>1.192794146236773E-11</v>
      </c>
      <c r="AB81" s="25">
        <f t="shared" si="72"/>
        <v>61.931522931809774</v>
      </c>
      <c r="AC81" s="76">
        <f t="shared" si="80"/>
        <v>60.360645625470404</v>
      </c>
      <c r="AD81" s="33">
        <f t="shared" si="78"/>
        <v>99.93454604398984</v>
      </c>
      <c r="AE81" s="52">
        <f t="shared" si="58"/>
        <v>1.906306398434765E-2</v>
      </c>
      <c r="AF81" s="53">
        <f t="shared" si="59"/>
        <v>0.37095175466614355</v>
      </c>
      <c r="AG81" s="82">
        <f t="shared" si="60"/>
        <v>2.9281281613792206E-13</v>
      </c>
      <c r="AH81" s="6">
        <f t="shared" si="61"/>
        <v>25.956900398547386</v>
      </c>
      <c r="AI81" s="9">
        <f t="shared" si="73"/>
        <v>5.6978997722654965E-12</v>
      </c>
      <c r="AJ81" s="60">
        <f t="shared" si="62"/>
        <v>51.336941132891987</v>
      </c>
      <c r="AK81" s="58">
        <f t="shared" si="63"/>
        <v>2.9920399491345506E-11</v>
      </c>
      <c r="AL81" s="61">
        <f t="shared" si="64"/>
        <v>1.5360217873598156E-9</v>
      </c>
      <c r="AN81" s="166">
        <f t="shared" si="65"/>
        <v>2.5739803155244378E-3</v>
      </c>
      <c r="AO81" s="167">
        <f t="shared" si="66"/>
        <v>14.668103066050545</v>
      </c>
      <c r="AP81" s="299">
        <f t="shared" si="67"/>
        <v>0</v>
      </c>
      <c r="AQ81" s="168">
        <f t="shared" si="74"/>
        <v>0</v>
      </c>
      <c r="AR81" s="168">
        <f t="shared" si="68"/>
        <v>0</v>
      </c>
      <c r="AS81" s="169">
        <f t="shared" si="75"/>
        <v>0</v>
      </c>
      <c r="AT81" s="168">
        <f t="shared" si="69"/>
        <v>17.098851031332003</v>
      </c>
      <c r="AU81" s="170">
        <f t="shared" si="79"/>
        <v>0</v>
      </c>
    </row>
    <row r="82" spans="2:47" x14ac:dyDescent="0.2">
      <c r="B82" s="34">
        <f>IF(AND((G82-B$6)*(G81-B$6)&lt;=0,ISNUMBER(SWeRF!C83)),(F81+(B$6-G81)*(F82-F81)/(G82-G81)),0)</f>
        <v>0</v>
      </c>
      <c r="C82" s="34">
        <f>IF(AND((G82-C$6)*(G81-C$6)&lt;=0,ISNUMBER(SWeRF!C83)),(F81+(C$6-G81)*(F82-F81)/(G82-G81)),0)</f>
        <v>0</v>
      </c>
      <c r="D82" s="322">
        <f>IF(AND((G82-D$6)*(G81-D$6)&lt;=0,ISNUMBER(SWeRF!C83)),(F81+(D$6-G81)*(F82-F81)/(G82-G81)),0)</f>
        <v>0</v>
      </c>
      <c r="E82" s="34">
        <f>IF(AND((G82-E$6)*(G81-E$6)&lt;=0,ISNUMBER(SWeRF!C83)),(F81+(E$6-G81)*(F82-F81)/(G82-G81)),0)</f>
        <v>0</v>
      </c>
      <c r="F82" s="100">
        <f>IF(ISNUMBER(SWeRF!C83),SWeRF!C83,F81)</f>
        <v>40.047749465141145</v>
      </c>
      <c r="G82" s="32">
        <f>IF(ISNUMBER(SWeRF!D83),SWeRF!D83,G81)</f>
        <v>99.949553623914369</v>
      </c>
      <c r="H82" s="76">
        <f t="shared" si="76"/>
        <v>39.033138182052774</v>
      </c>
      <c r="I82" s="35">
        <f t="shared" ref="I82:I110" si="81">G82-G81</f>
        <v>1.5007579924528613E-2</v>
      </c>
      <c r="J82" s="35">
        <f t="shared" ref="J82:J110" si="82">IF(H82=0,0,I82/H82)</f>
        <v>3.8448304757184547E-4</v>
      </c>
      <c r="K82" s="36">
        <f t="shared" ref="K82:K110" si="83">IF(F82=F81,0,I82/(F82-F81)*H82)</f>
        <v>0.2923822651001628</v>
      </c>
      <c r="L82" s="144"/>
      <c r="M82" s="25">
        <f t="shared" ref="M82:M110" si="84">F82*SQRT(N$3/1000)</f>
        <v>84.004867976682974</v>
      </c>
      <c r="N82" s="33">
        <f t="shared" si="77"/>
        <v>81.876601394370269</v>
      </c>
      <c r="O82" s="33">
        <f t="shared" ref="O82:O110" si="85">G82</f>
        <v>99.949553623914369</v>
      </c>
      <c r="P82" s="52">
        <f t="shared" ref="P82:P110" si="86">O82-O81</f>
        <v>1.5007579924528613E-2</v>
      </c>
      <c r="Q82" s="53">
        <f t="shared" ref="Q82:Q110" si="87">IF(M82=M81,0,P82/(M82-M81)*N82)</f>
        <v>0.29238226510016307</v>
      </c>
      <c r="R82" s="82">
        <f t="shared" ref="R82:R110" si="88">W82*P82/100</f>
        <v>1.1203507518922211E-15</v>
      </c>
      <c r="S82" s="6">
        <f t="shared" ref="S82:S110" si="89">S81+R82</f>
        <v>17.017600723311965</v>
      </c>
      <c r="T82" s="9">
        <f t="shared" ref="T82:T110" si="90">IF(F82=F81,0,R82/(F82-F81)*H82)</f>
        <v>2.1827016227282033E-14</v>
      </c>
      <c r="U82" s="60">
        <f t="shared" ref="U82:U110" si="91">50*(1+EXP(-0.06*N82))</f>
        <v>50.36766867786865</v>
      </c>
      <c r="V82" s="58">
        <f t="shared" ref="V82:V110" si="92">1-LOGNORMDIST(N82,LN(M),LN(S))</f>
        <v>1.482147737874584E-13</v>
      </c>
      <c r="W82" s="61">
        <f t="shared" ref="W82:W110" si="93">V82*U82</f>
        <v>7.4652326192919558E-12</v>
      </c>
      <c r="X82" s="60">
        <f t="shared" ref="X82:X110" si="94">50*(1+EXP(-0.06*M82))</f>
        <v>50.323592887552401</v>
      </c>
      <c r="Y82" s="58">
        <f t="shared" si="70"/>
        <v>9.2370555648813024E-14</v>
      </c>
      <c r="Z82" s="61">
        <f t="shared" si="71"/>
        <v>4.6484182372678707E-12</v>
      </c>
      <c r="AB82" s="25">
        <f t="shared" si="72"/>
        <v>65.193012882058071</v>
      </c>
      <c r="AC82" s="76">
        <f t="shared" si="80"/>
        <v>63.541345376840653</v>
      </c>
      <c r="AD82" s="33">
        <f t="shared" si="78"/>
        <v>99.949553623914369</v>
      </c>
      <c r="AE82" s="52">
        <f t="shared" ref="AE82:AE110" si="95">AD82-AD81</f>
        <v>1.5007579924528613E-2</v>
      </c>
      <c r="AF82" s="53">
        <f t="shared" ref="AF82:AF110" si="96">IF(AB82=AB81,0,AE82/(AB82-AB81)*AC82)</f>
        <v>0.2923822651001623</v>
      </c>
      <c r="AG82" s="82">
        <f t="shared" ref="AG82:AG110" si="97">AL82*AE82/100</f>
        <v>9.7570109259749663E-14</v>
      </c>
      <c r="AH82" s="6">
        <f t="shared" ref="AH82:AH110" si="98">AH81+AG82</f>
        <v>25.956900398547482</v>
      </c>
      <c r="AI82" s="9">
        <f t="shared" si="73"/>
        <v>1.9008907295445925E-12</v>
      </c>
      <c r="AJ82" s="60">
        <f t="shared" ref="AJ82:AJ110" si="99">50*(1+EXP(-0.06*AC82))</f>
        <v>51.104665178108846</v>
      </c>
      <c r="AK82" s="58">
        <f t="shared" ref="AK82:AK110" si="100">1-LOGNORMDIST(AC82,LN(M),LN(S))</f>
        <v>1.2721712572272281E-11</v>
      </c>
      <c r="AL82" s="61">
        <f t="shared" ref="AL82:AL110" si="101">AK82*AJ82</f>
        <v>6.5013886149811278E-10</v>
      </c>
      <c r="AN82" s="166">
        <f t="shared" ref="AN82:AN110" si="102">(H82/1000000)^2*(rs-rm)*9.81/(18*n*0.001)</f>
        <v>2.8523990330364428E-3</v>
      </c>
      <c r="AO82" s="167">
        <f t="shared" ref="AO82:AO110" si="103">AN82*AO$5</f>
        <v>16.254702007523658</v>
      </c>
      <c r="AP82" s="299">
        <f t="shared" ref="AP82:AP110" si="104">IF(AO82&lt;h,(h-AO82)/h,0)</f>
        <v>0</v>
      </c>
      <c r="AQ82" s="168">
        <f t="shared" si="74"/>
        <v>0</v>
      </c>
      <c r="AR82" s="168">
        <f t="shared" ref="AR82:AR110" si="105">AP82*100</f>
        <v>0</v>
      </c>
      <c r="AS82" s="169">
        <f t="shared" si="75"/>
        <v>0</v>
      </c>
      <c r="AT82" s="168">
        <f t="shared" ref="AT82:AT110" si="106">AT81+AS82</f>
        <v>17.098851031332003</v>
      </c>
      <c r="AU82" s="170">
        <f t="shared" si="79"/>
        <v>0</v>
      </c>
    </row>
    <row r="83" spans="2:47" x14ac:dyDescent="0.2">
      <c r="B83" s="34">
        <f>IF(AND((G83-B$6)*(G82-B$6)&lt;=0,ISNUMBER(SWeRF!C84)),(F82+(B$6-G82)*(F83-F82)/(G83-G82)),0)</f>
        <v>0</v>
      </c>
      <c r="C83" s="34">
        <f>IF(AND((G83-C$6)*(G82-C$6)&lt;=0,ISNUMBER(SWeRF!C84)),(F82+(C$6-G82)*(F83-F82)/(G83-G82)),0)</f>
        <v>0</v>
      </c>
      <c r="D83" s="322">
        <f>IF(AND((G83-D$6)*(G82-D$6)&lt;=0,ISNUMBER(SWeRF!C84)),(F82+(D$6-G82)*(F83-F82)/(G83-G82)),0)</f>
        <v>0</v>
      </c>
      <c r="E83" s="34">
        <f>IF(AND((G83-E$6)*(G82-E$6)&lt;=0,ISNUMBER(SWeRF!C84)),(F82+(E$6-G82)*(F83-F82)/(G83-G82)),0)</f>
        <v>0</v>
      </c>
      <c r="F83" s="100">
        <f>IF(ISNUMBER(SWeRF!C84),SWeRF!C84,F82)</f>
        <v>42.154339376993896</v>
      </c>
      <c r="G83" s="32">
        <f>IF(ISNUMBER(SWeRF!D84),SWeRF!D84,G82)</f>
        <v>99.961307883405098</v>
      </c>
      <c r="H83" s="76">
        <f t="shared" si="76"/>
        <v>41.087545828856527</v>
      </c>
      <c r="I83" s="35">
        <f t="shared" si="81"/>
        <v>1.1754259490729169E-2</v>
      </c>
      <c r="J83" s="35">
        <f t="shared" si="82"/>
        <v>2.8607840292261844E-4</v>
      </c>
      <c r="K83" s="36">
        <f t="shared" si="83"/>
        <v>0.22925851528684457</v>
      </c>
      <c r="L83" s="144"/>
      <c r="M83" s="25">
        <f t="shared" si="84"/>
        <v>88.423688254717277</v>
      </c>
      <c r="N83" s="33">
        <f t="shared" si="77"/>
        <v>86.185963229802667</v>
      </c>
      <c r="O83" s="33">
        <f t="shared" si="85"/>
        <v>99.961307883405098</v>
      </c>
      <c r="P83" s="52">
        <f t="shared" si="86"/>
        <v>1.1754259490729169E-2</v>
      </c>
      <c r="Q83" s="53">
        <f t="shared" si="87"/>
        <v>0.22925851528684391</v>
      </c>
      <c r="R83" s="82">
        <f t="shared" si="88"/>
        <v>3.3925401581211185E-16</v>
      </c>
      <c r="S83" s="6">
        <f t="shared" si="89"/>
        <v>17.017600723311965</v>
      </c>
      <c r="T83" s="9">
        <f t="shared" si="90"/>
        <v>6.6169095578950506E-15</v>
      </c>
      <c r="U83" s="60">
        <f t="shared" si="91"/>
        <v>50.283899553466306</v>
      </c>
      <c r="V83" s="58">
        <f t="shared" si="92"/>
        <v>5.7398530373120593E-14</v>
      </c>
      <c r="W83" s="61">
        <f t="shared" si="93"/>
        <v>2.8862219357985809E-12</v>
      </c>
      <c r="X83" s="60">
        <f t="shared" si="94"/>
        <v>50.248230311130449</v>
      </c>
      <c r="Y83" s="58">
        <f t="shared" si="70"/>
        <v>3.5527136788005009E-14</v>
      </c>
      <c r="Z83" s="61">
        <f t="shared" si="71"/>
        <v>1.7851757516187109E-12</v>
      </c>
      <c r="AB83" s="25">
        <f t="shared" si="72"/>
        <v>68.622292806518502</v>
      </c>
      <c r="AC83" s="76">
        <f t="shared" si="80"/>
        <v>66.88567872819803</v>
      </c>
      <c r="AD83" s="33">
        <f t="shared" si="78"/>
        <v>99.961307883405098</v>
      </c>
      <c r="AE83" s="52">
        <f t="shared" si="95"/>
        <v>1.1754259490729169E-2</v>
      </c>
      <c r="AF83" s="53">
        <f t="shared" si="96"/>
        <v>0.2292585152868454</v>
      </c>
      <c r="AG83" s="82">
        <f t="shared" si="97"/>
        <v>3.1891767915818924E-14</v>
      </c>
      <c r="AH83" s="6">
        <f t="shared" si="98"/>
        <v>25.956900398547514</v>
      </c>
      <c r="AI83" s="9">
        <f t="shared" si="73"/>
        <v>6.2202636993168087E-13</v>
      </c>
      <c r="AJ83" s="60">
        <f t="shared" si="99"/>
        <v>50.903826629721614</v>
      </c>
      <c r="AK83" s="58">
        <f t="shared" si="100"/>
        <v>5.330069718922914E-12</v>
      </c>
      <c r="AL83" s="61">
        <f t="shared" si="101"/>
        <v>2.7132094489638102E-10</v>
      </c>
      <c r="AN83" s="166">
        <f t="shared" si="102"/>
        <v>3.1605578610036148E-3</v>
      </c>
      <c r="AO83" s="167">
        <f t="shared" si="103"/>
        <v>18.01077816011648</v>
      </c>
      <c r="AP83" s="299">
        <f t="shared" si="104"/>
        <v>0</v>
      </c>
      <c r="AQ83" s="168">
        <f t="shared" si="74"/>
        <v>0</v>
      </c>
      <c r="AR83" s="168">
        <f t="shared" si="105"/>
        <v>0</v>
      </c>
      <c r="AS83" s="169">
        <f t="shared" si="75"/>
        <v>0</v>
      </c>
      <c r="AT83" s="168">
        <f t="shared" si="106"/>
        <v>17.098851031332003</v>
      </c>
      <c r="AU83" s="170">
        <f t="shared" si="79"/>
        <v>0</v>
      </c>
    </row>
    <row r="84" spans="2:47" x14ac:dyDescent="0.2">
      <c r="B84" s="34">
        <f>IF(AND((G84-B$6)*(G83-B$6)&lt;=0,ISNUMBER(SWeRF!C85)),(F83+(B$6-G83)*(F84-F83)/(G84-G83)),0)</f>
        <v>0</v>
      </c>
      <c r="C84" s="34">
        <f>IF(AND((G84-C$6)*(G83-C$6)&lt;=0,ISNUMBER(SWeRF!C85)),(F83+(C$6-G83)*(F84-F83)/(G84-G83)),0)</f>
        <v>0</v>
      </c>
      <c r="D84" s="322">
        <f>IF(AND((G84-D$6)*(G83-D$6)&lt;=0,ISNUMBER(SWeRF!C85)),(F83+(D$6-G83)*(F84-F83)/(G84-G83)),0)</f>
        <v>0</v>
      </c>
      <c r="E84" s="34">
        <f>IF(AND((G84-E$6)*(G83-E$6)&lt;=0,ISNUMBER(SWeRF!C85)),(F83+(E$6-G83)*(F84-F83)/(G84-G83)),0)</f>
        <v>0</v>
      </c>
      <c r="F84" s="100">
        <f>IF(ISNUMBER(SWeRF!C85),SWeRF!C85,F83)</f>
        <v>44.369304501518563</v>
      </c>
      <c r="G84" s="32">
        <f>IF(ISNUMBER(SWeRF!D85),SWeRF!D85,G83)</f>
        <v>99.970466861500014</v>
      </c>
      <c r="H84" s="76">
        <f t="shared" si="76"/>
        <v>43.247644096276467</v>
      </c>
      <c r="I84" s="35">
        <f t="shared" si="81"/>
        <v>9.1589780949163924E-3</v>
      </c>
      <c r="J84" s="35">
        <f t="shared" si="82"/>
        <v>2.117798156710451E-4</v>
      </c>
      <c r="K84" s="36">
        <f t="shared" si="83"/>
        <v>0.17883090823813336</v>
      </c>
      <c r="L84" s="144"/>
      <c r="M84" s="25">
        <f t="shared" si="84"/>
        <v>93.069838296696815</v>
      </c>
      <c r="N84" s="33">
        <f t="shared" si="77"/>
        <v>90.717023581376765</v>
      </c>
      <c r="O84" s="33">
        <f t="shared" si="85"/>
        <v>99.970466861500014</v>
      </c>
      <c r="P84" s="52">
        <f t="shared" si="86"/>
        <v>9.1589780949163924E-3</v>
      </c>
      <c r="Q84" s="53">
        <f t="shared" si="87"/>
        <v>0.17883090823813363</v>
      </c>
      <c r="R84" s="82">
        <f t="shared" si="88"/>
        <v>1.0110376299852644E-16</v>
      </c>
      <c r="S84" s="6">
        <f t="shared" si="89"/>
        <v>17.017600723311965</v>
      </c>
      <c r="T84" s="9">
        <f t="shared" si="90"/>
        <v>1.9740715149602626E-15</v>
      </c>
      <c r="U84" s="60">
        <f t="shared" si="91"/>
        <v>50.216319583946323</v>
      </c>
      <c r="V84" s="58">
        <f t="shared" si="92"/>
        <v>2.19824158875781E-14</v>
      </c>
      <c r="W84" s="61">
        <f t="shared" si="93"/>
        <v>1.1038760214378409E-12</v>
      </c>
      <c r="X84" s="60">
        <f t="shared" si="94"/>
        <v>50.187839521002743</v>
      </c>
      <c r="Y84" s="58">
        <f t="shared" si="70"/>
        <v>1.3433698597964394E-14</v>
      </c>
      <c r="Z84" s="61">
        <f t="shared" si="71"/>
        <v>6.7420830940815654E-13</v>
      </c>
      <c r="AB84" s="25">
        <f t="shared" si="72"/>
        <v>72.227994795393982</v>
      </c>
      <c r="AC84" s="76">
        <f t="shared" si="80"/>
        <v>70.402063944725512</v>
      </c>
      <c r="AD84" s="33">
        <f t="shared" si="78"/>
        <v>99.970466861500014</v>
      </c>
      <c r="AE84" s="52">
        <f t="shared" si="95"/>
        <v>9.1589780949163924E-3</v>
      </c>
      <c r="AF84" s="53">
        <f t="shared" si="96"/>
        <v>0.1788309082381328</v>
      </c>
      <c r="AG84" s="82">
        <f t="shared" si="97"/>
        <v>1.0225016218325818E-14</v>
      </c>
      <c r="AH84" s="6">
        <f t="shared" si="98"/>
        <v>25.956900398547525</v>
      </c>
      <c r="AI84" s="9">
        <f t="shared" si="73"/>
        <v>1.996455191969254E-13</v>
      </c>
      <c r="AJ84" s="60">
        <f t="shared" si="99"/>
        <v>50.731907725332782</v>
      </c>
      <c r="AK84" s="58">
        <f t="shared" si="100"/>
        <v>2.2005730571095228E-12</v>
      </c>
      <c r="AL84" s="61">
        <f t="shared" si="101"/>
        <v>1.1163926927613377E-10</v>
      </c>
      <c r="AN84" s="166">
        <f t="shared" si="102"/>
        <v>3.501613848528489E-3</v>
      </c>
      <c r="AO84" s="167">
        <f t="shared" si="103"/>
        <v>19.954322306952442</v>
      </c>
      <c r="AP84" s="299">
        <f t="shared" si="104"/>
        <v>0</v>
      </c>
      <c r="AQ84" s="168">
        <f t="shared" si="74"/>
        <v>0</v>
      </c>
      <c r="AR84" s="168">
        <f t="shared" si="105"/>
        <v>0</v>
      </c>
      <c r="AS84" s="169">
        <f t="shared" si="75"/>
        <v>0</v>
      </c>
      <c r="AT84" s="168">
        <f t="shared" si="106"/>
        <v>17.098851031332003</v>
      </c>
      <c r="AU84" s="170">
        <f t="shared" si="79"/>
        <v>0</v>
      </c>
    </row>
    <row r="85" spans="2:47" x14ac:dyDescent="0.2">
      <c r="B85" s="34">
        <f>IF(AND((G85-B$6)*(G84-B$6)&lt;=0,ISNUMBER(SWeRF!C86)),(F84+(B$6-G84)*(F85-F84)/(G85-G84)),0)</f>
        <v>0</v>
      </c>
      <c r="C85" s="34">
        <f>IF(AND((G85-C$6)*(G84-C$6)&lt;=0,ISNUMBER(SWeRF!C86)),(F84+(C$6-G84)*(F85-F84)/(G85-G84)),0)</f>
        <v>0</v>
      </c>
      <c r="D85" s="322">
        <f>IF(AND((G85-D$6)*(G84-D$6)&lt;=0,ISNUMBER(SWeRF!C86)),(F84+(D$6-G84)*(F85-F84)/(G85-G84)),0)</f>
        <v>0</v>
      </c>
      <c r="E85" s="34">
        <f>IF(AND((G85-E$6)*(G84-E$6)&lt;=0,ISNUMBER(SWeRF!C86)),(F84+(E$6-G84)*(F85-F84)/(G85-G84)),0)</f>
        <v>0</v>
      </c>
      <c r="F85" s="100">
        <f>IF(ISNUMBER(SWeRF!C86),SWeRF!C86,F84)</f>
        <v>46.698220288713969</v>
      </c>
      <c r="G85" s="32">
        <f>IF(ISNUMBER(SWeRF!D86),SWeRF!D86,G84)</f>
        <v>99.977566990510311</v>
      </c>
      <c r="H85" s="76">
        <f t="shared" si="76"/>
        <v>45.518870325052468</v>
      </c>
      <c r="I85" s="35">
        <f t="shared" si="81"/>
        <v>7.1001290102969961E-3</v>
      </c>
      <c r="J85" s="35">
        <f t="shared" si="82"/>
        <v>1.5598210060123702E-4</v>
      </c>
      <c r="K85" s="36">
        <f t="shared" si="83"/>
        <v>0.13877266558446627</v>
      </c>
      <c r="L85" s="144"/>
      <c r="M85" s="25">
        <f t="shared" si="84"/>
        <v>97.955013265204201</v>
      </c>
      <c r="N85" s="33">
        <f t="shared" si="77"/>
        <v>95.481187911249549</v>
      </c>
      <c r="O85" s="33">
        <f t="shared" si="85"/>
        <v>99.977566990510311</v>
      </c>
      <c r="P85" s="52">
        <f t="shared" si="86"/>
        <v>7.1001290102969961E-3</v>
      </c>
      <c r="Q85" s="53">
        <f t="shared" si="87"/>
        <v>0.13877266558446644</v>
      </c>
      <c r="R85" s="82">
        <f t="shared" si="88"/>
        <v>2.9260900307381332E-17</v>
      </c>
      <c r="S85" s="6">
        <f t="shared" si="89"/>
        <v>17.017600723311965</v>
      </c>
      <c r="T85" s="9">
        <f t="shared" si="90"/>
        <v>5.7190695086916203E-16</v>
      </c>
      <c r="U85" s="60">
        <f t="shared" si="91"/>
        <v>50.162537218055846</v>
      </c>
      <c r="V85" s="58">
        <f t="shared" si="92"/>
        <v>8.2156503822261584E-15</v>
      </c>
      <c r="W85" s="61">
        <f t="shared" si="93"/>
        <v>4.1211786806895439E-13</v>
      </c>
      <c r="X85" s="60">
        <f t="shared" si="94"/>
        <v>50.140116958051465</v>
      </c>
      <c r="Y85" s="58">
        <f t="shared" si="70"/>
        <v>4.9960036108132044E-15</v>
      </c>
      <c r="Z85" s="61">
        <f t="shared" si="71"/>
        <v>2.5050020536902151E-13</v>
      </c>
      <c r="AB85" s="25">
        <f t="shared" si="72"/>
        <v>76.019195023711816</v>
      </c>
      <c r="AC85" s="76">
        <f t="shared" si="80"/>
        <v>74.099352375865593</v>
      </c>
      <c r="AD85" s="33">
        <f t="shared" si="78"/>
        <v>99.977566990510311</v>
      </c>
      <c r="AE85" s="52">
        <f t="shared" si="95"/>
        <v>7.1001290102969961E-3</v>
      </c>
      <c r="AF85" s="53">
        <f t="shared" si="96"/>
        <v>0.13877266558446627</v>
      </c>
      <c r="AG85" s="82">
        <f t="shared" si="97"/>
        <v>3.2155837949569674E-15</v>
      </c>
      <c r="AH85" s="6">
        <f t="shared" si="98"/>
        <v>25.956900398547528</v>
      </c>
      <c r="AI85" s="9">
        <f t="shared" si="73"/>
        <v>6.2848876969592743E-14</v>
      </c>
      <c r="AJ85" s="60">
        <f t="shared" si="99"/>
        <v>50.586291520925151</v>
      </c>
      <c r="AK85" s="58">
        <f t="shared" si="100"/>
        <v>8.9528384705772623E-13</v>
      </c>
      <c r="AL85" s="61">
        <f t="shared" si="101"/>
        <v>4.5289089681237509E-11</v>
      </c>
      <c r="AN85" s="166">
        <f t="shared" si="102"/>
        <v>3.8790581771953204E-3</v>
      </c>
      <c r="AO85" s="167">
        <f t="shared" si="103"/>
        <v>22.105229320960948</v>
      </c>
      <c r="AP85" s="299">
        <f t="shared" si="104"/>
        <v>0</v>
      </c>
      <c r="AQ85" s="168">
        <f t="shared" si="74"/>
        <v>0</v>
      </c>
      <c r="AR85" s="168">
        <f t="shared" si="105"/>
        <v>0</v>
      </c>
      <c r="AS85" s="169">
        <f t="shared" si="75"/>
        <v>0</v>
      </c>
      <c r="AT85" s="168">
        <f t="shared" si="106"/>
        <v>17.098851031332003</v>
      </c>
      <c r="AU85" s="170">
        <f t="shared" si="79"/>
        <v>0</v>
      </c>
    </row>
    <row r="86" spans="2:47" x14ac:dyDescent="0.2">
      <c r="B86" s="34">
        <f>IF(AND((G86-B$6)*(G85-B$6)&lt;=0,ISNUMBER(SWeRF!C87)),(F85+(B$6-G85)*(F86-F85)/(G86-G85)),0)</f>
        <v>0</v>
      </c>
      <c r="C86" s="34">
        <f>IF(AND((G86-C$6)*(G85-C$6)&lt;=0,ISNUMBER(SWeRF!C87)),(F85+(C$6-G85)*(F86-F85)/(G86-G85)),0)</f>
        <v>0</v>
      </c>
      <c r="D86" s="322">
        <f>IF(AND((G86-D$6)*(G85-D$6)&lt;=0,ISNUMBER(SWeRF!C87)),(F85+(D$6-G85)*(F86-F85)/(G86-G85)),0)</f>
        <v>0</v>
      </c>
      <c r="E86" s="34">
        <f>IF(AND((G86-E$6)*(G85-E$6)&lt;=0,ISNUMBER(SWeRF!C87)),(F85+(E$6-G85)*(F86-F85)/(G86-G85)),0)</f>
        <v>0</v>
      </c>
      <c r="F86" s="100">
        <f>IF(ISNUMBER(SWeRF!C87),SWeRF!C87,F85)</f>
        <v>49.14694902208943</v>
      </c>
      <c r="G86" s="32">
        <f>IF(ISNUMBER(SWeRF!D87),SWeRF!D87,G85)</f>
        <v>99.9830428605582</v>
      </c>
      <c r="H86" s="76">
        <f t="shared" si="76"/>
        <v>47.906941584197668</v>
      </c>
      <c r="I86" s="35">
        <f t="shared" si="81"/>
        <v>5.4758700478885203E-3</v>
      </c>
      <c r="J86" s="35">
        <f t="shared" si="82"/>
        <v>1.1430222566524184E-4</v>
      </c>
      <c r="K86" s="36">
        <f t="shared" si="83"/>
        <v>0.10712994989250609</v>
      </c>
      <c r="L86" s="144"/>
      <c r="M86" s="25">
        <f t="shared" si="84"/>
        <v>103.09150998986955</v>
      </c>
      <c r="N86" s="33">
        <f t="shared" si="77"/>
        <v>100.49044844455419</v>
      </c>
      <c r="O86" s="33">
        <f t="shared" si="85"/>
        <v>99.9830428605582</v>
      </c>
      <c r="P86" s="52">
        <f t="shared" si="86"/>
        <v>5.4758700478885203E-3</v>
      </c>
      <c r="Q86" s="53">
        <f t="shared" si="87"/>
        <v>0.10712994989250595</v>
      </c>
      <c r="R86" s="82">
        <f t="shared" si="88"/>
        <v>8.5316972152745579E-18</v>
      </c>
      <c r="S86" s="6">
        <f t="shared" si="89"/>
        <v>17.017600723311965</v>
      </c>
      <c r="T86" s="9">
        <f t="shared" si="90"/>
        <v>1.6691416837454589E-16</v>
      </c>
      <c r="U86" s="60">
        <f t="shared" si="91"/>
        <v>50.120343647313348</v>
      </c>
      <c r="V86" s="58">
        <f t="shared" si="92"/>
        <v>3.1086244689504383E-15</v>
      </c>
      <c r="W86" s="61">
        <f t="shared" si="93"/>
        <v>1.5580532665424293E-13</v>
      </c>
      <c r="X86" s="60">
        <f t="shared" si="94"/>
        <v>50.102954555797282</v>
      </c>
      <c r="Y86" s="58">
        <f t="shared" si="70"/>
        <v>1.8873791418627661E-15</v>
      </c>
      <c r="Z86" s="61">
        <f t="shared" si="71"/>
        <v>9.4563271374309843E-14</v>
      </c>
      <c r="AB86" s="25">
        <f t="shared" si="72"/>
        <v>80.005436597625163</v>
      </c>
      <c r="AC86" s="76">
        <f t="shared" si="80"/>
        <v>77.986850735698241</v>
      </c>
      <c r="AD86" s="33">
        <f t="shared" si="78"/>
        <v>99.9830428605582</v>
      </c>
      <c r="AE86" s="52">
        <f t="shared" si="95"/>
        <v>5.4758700478885203E-3</v>
      </c>
      <c r="AF86" s="53">
        <f t="shared" si="96"/>
        <v>0.10712994989250643</v>
      </c>
      <c r="AG86" s="82">
        <f t="shared" si="97"/>
        <v>9.9156026208584431E-16</v>
      </c>
      <c r="AH86" s="6">
        <f t="shared" si="98"/>
        <v>25.956900398547528</v>
      </c>
      <c r="AI86" s="9">
        <f t="shared" si="73"/>
        <v>1.9398890087542724E-14</v>
      </c>
      <c r="AJ86" s="60">
        <f t="shared" si="99"/>
        <v>50.464316875402773</v>
      </c>
      <c r="AK86" s="58">
        <f t="shared" si="100"/>
        <v>3.5882408155885059E-13</v>
      </c>
      <c r="AL86" s="61">
        <f t="shared" si="101"/>
        <v>1.8107812154311205E-11</v>
      </c>
      <c r="AN86" s="166">
        <f t="shared" si="102"/>
        <v>4.2967514733482622E-3</v>
      </c>
      <c r="AO86" s="167">
        <f t="shared" si="103"/>
        <v>24.485499395684275</v>
      </c>
      <c r="AP86" s="299">
        <f t="shared" si="104"/>
        <v>0</v>
      </c>
      <c r="AQ86" s="168">
        <f t="shared" si="74"/>
        <v>0</v>
      </c>
      <c r="AR86" s="168">
        <f t="shared" si="105"/>
        <v>0</v>
      </c>
      <c r="AS86" s="169">
        <f t="shared" si="75"/>
        <v>0</v>
      </c>
      <c r="AT86" s="168">
        <f t="shared" si="106"/>
        <v>17.098851031332003</v>
      </c>
      <c r="AU86" s="170">
        <f t="shared" si="79"/>
        <v>0</v>
      </c>
    </row>
    <row r="87" spans="2:47" x14ac:dyDescent="0.2">
      <c r="B87" s="34">
        <f>IF(AND((G87-B$6)*(G86-B$6)&lt;=0,ISNUMBER(SWeRF!C88)),(F86+(B$6-G86)*(F87-F86)/(G87-G86)),0)</f>
        <v>0</v>
      </c>
      <c r="C87" s="34">
        <f>IF(AND((G87-C$6)*(G86-C$6)&lt;=0,ISNUMBER(SWeRF!C88)),(F86+(C$6-G86)*(F87-F86)/(G87-G86)),0)</f>
        <v>0</v>
      </c>
      <c r="D87" s="322">
        <f>IF(AND((G87-D$6)*(G86-D$6)&lt;=0,ISNUMBER(SWeRF!C88)),(F86+(D$6-G86)*(F87-F86)/(G87-G86)),0)</f>
        <v>0</v>
      </c>
      <c r="E87" s="34">
        <f>IF(AND((G87-E$6)*(G86-E$6)&lt;=0,ISNUMBER(SWeRF!C88)),(F86+(E$6-G86)*(F87-F86)/(G87-G86)),0)</f>
        <v>0</v>
      </c>
      <c r="F87" s="100">
        <f>IF(ISNUMBER(SWeRF!C88),SWeRF!C88,F86)</f>
        <v>51.721654575045257</v>
      </c>
      <c r="G87" s="32">
        <f>IF(ISNUMBER(SWeRF!D88),SWeRF!D88,G86)</f>
        <v>99.987244393532322</v>
      </c>
      <c r="H87" s="76">
        <f t="shared" si="76"/>
        <v>50.417869061850162</v>
      </c>
      <c r="I87" s="35">
        <f t="shared" si="81"/>
        <v>4.2015329741218466E-3</v>
      </c>
      <c r="J87" s="35">
        <f t="shared" si="82"/>
        <v>8.3334203771436924E-5</v>
      </c>
      <c r="K87" s="36">
        <f t="shared" si="83"/>
        <v>8.2274394097271539E-2</v>
      </c>
      <c r="L87" s="144"/>
      <c r="M87" s="25">
        <f t="shared" si="84"/>
        <v>108.49225792061534</v>
      </c>
      <c r="N87" s="33">
        <f t="shared" si="77"/>
        <v>105.75741435590518</v>
      </c>
      <c r="O87" s="33">
        <f t="shared" si="85"/>
        <v>99.987244393532322</v>
      </c>
      <c r="P87" s="52">
        <f t="shared" si="86"/>
        <v>4.2015329741218466E-3</v>
      </c>
      <c r="Q87" s="53">
        <f t="shared" si="87"/>
        <v>8.2274394097271455E-2</v>
      </c>
      <c r="R87" s="82">
        <f t="shared" si="88"/>
        <v>0</v>
      </c>
      <c r="S87" s="6">
        <f t="shared" si="89"/>
        <v>17.017600723311965</v>
      </c>
      <c r="T87" s="9">
        <f t="shared" si="90"/>
        <v>0</v>
      </c>
      <c r="U87" s="60">
        <f t="shared" si="91"/>
        <v>50.087736098053639</v>
      </c>
      <c r="V87" s="58">
        <f t="shared" si="92"/>
        <v>0</v>
      </c>
      <c r="W87" s="61">
        <f t="shared" si="93"/>
        <v>0</v>
      </c>
      <c r="X87" s="60">
        <f t="shared" si="94"/>
        <v>50.07445856596847</v>
      </c>
      <c r="Y87" s="58">
        <f t="shared" si="70"/>
        <v>0</v>
      </c>
      <c r="Z87" s="61">
        <f t="shared" si="71"/>
        <v>0</v>
      </c>
      <c r="AB87" s="25">
        <f t="shared" si="72"/>
        <v>84.196753576060132</v>
      </c>
      <c r="AC87" s="76">
        <f t="shared" si="80"/>
        <v>82.074344529550459</v>
      </c>
      <c r="AD87" s="33">
        <f t="shared" si="78"/>
        <v>99.987244393532322</v>
      </c>
      <c r="AE87" s="52">
        <f t="shared" si="95"/>
        <v>4.2015329741218466E-3</v>
      </c>
      <c r="AF87" s="53">
        <f t="shared" si="96"/>
        <v>8.2274394097271358E-2</v>
      </c>
      <c r="AG87" s="82">
        <f t="shared" si="97"/>
        <v>3.0000145442252278E-16</v>
      </c>
      <c r="AH87" s="6">
        <f t="shared" si="98"/>
        <v>25.956900398547528</v>
      </c>
      <c r="AI87" s="9">
        <f t="shared" si="73"/>
        <v>5.8746267238500281E-15</v>
      </c>
      <c r="AJ87" s="60">
        <f t="shared" si="99"/>
        <v>50.363332216478241</v>
      </c>
      <c r="AK87" s="58">
        <f t="shared" si="100"/>
        <v>1.4177548024463249E-13</v>
      </c>
      <c r="AL87" s="61">
        <f t="shared" si="101"/>
        <v>7.1402856117111738E-12</v>
      </c>
      <c r="AN87" s="166">
        <f t="shared" si="102"/>
        <v>4.7589628496622904E-3</v>
      </c>
      <c r="AO87" s="167">
        <f t="shared" si="103"/>
        <v>27.119460527859403</v>
      </c>
      <c r="AP87" s="299">
        <f t="shared" si="104"/>
        <v>0</v>
      </c>
      <c r="AQ87" s="168">
        <f t="shared" si="74"/>
        <v>0</v>
      </c>
      <c r="AR87" s="168">
        <f t="shared" si="105"/>
        <v>0</v>
      </c>
      <c r="AS87" s="169">
        <f t="shared" si="75"/>
        <v>0</v>
      </c>
      <c r="AT87" s="168">
        <f t="shared" si="106"/>
        <v>17.098851031332003</v>
      </c>
      <c r="AU87" s="170">
        <f t="shared" si="79"/>
        <v>0</v>
      </c>
    </row>
    <row r="88" spans="2:47" x14ac:dyDescent="0.2">
      <c r="B88" s="34">
        <f>IF(AND((G88-B$6)*(G87-B$6)&lt;=0,ISNUMBER(SWeRF!C89)),(F87+(B$6-G87)*(F88-F87)/(G88-G87)),0)</f>
        <v>0</v>
      </c>
      <c r="C88" s="34">
        <f>IF(AND((G88-C$6)*(G87-C$6)&lt;=0,ISNUMBER(SWeRF!C89)),(F87+(C$6-G87)*(F88-F87)/(G88-G87)),0)</f>
        <v>0</v>
      </c>
      <c r="D88" s="322">
        <f>IF(AND((G88-D$6)*(G87-D$6)&lt;=0,ISNUMBER(SWeRF!C89)),(F87+(D$6-G87)*(F88-F87)/(G88-G87)),0)</f>
        <v>0</v>
      </c>
      <c r="E88" s="34">
        <f>IF(AND((G88-E$6)*(G87-E$6)&lt;=0,ISNUMBER(SWeRF!C89)),(F87+(E$6-G87)*(F88-F87)/(G88-G87)),0)</f>
        <v>0</v>
      </c>
      <c r="F88" s="100">
        <f>IF(ISNUMBER(SWeRF!C89),SWeRF!C89,F87)</f>
        <v>54.42881792640744</v>
      </c>
      <c r="G88" s="32">
        <f>IF(ISNUMBER(SWeRF!D89),SWeRF!D89,G87)</f>
        <v>99.99045162375549</v>
      </c>
      <c r="H88" s="76">
        <f t="shared" si="76"/>
        <v>53.057973196473277</v>
      </c>
      <c r="I88" s="35">
        <f t="shared" si="81"/>
        <v>3.207230223168267E-3</v>
      </c>
      <c r="J88" s="35">
        <f t="shared" si="82"/>
        <v>6.044765809828275E-5</v>
      </c>
      <c r="K88" s="36">
        <f t="shared" si="83"/>
        <v>6.2858835293465268E-2</v>
      </c>
      <c r="L88" s="144"/>
      <c r="M88" s="25">
        <f t="shared" si="84"/>
        <v>114.17085167331658</v>
      </c>
      <c r="N88" s="33">
        <f t="shared" si="77"/>
        <v>111.29534350887184</v>
      </c>
      <c r="O88" s="33">
        <f t="shared" si="85"/>
        <v>99.99045162375549</v>
      </c>
      <c r="P88" s="52">
        <f t="shared" si="86"/>
        <v>3.207230223168267E-3</v>
      </c>
      <c r="Q88" s="53">
        <f t="shared" si="87"/>
        <v>6.2858835293465323E-2</v>
      </c>
      <c r="R88" s="82">
        <f t="shared" si="88"/>
        <v>0</v>
      </c>
      <c r="S88" s="6">
        <f t="shared" si="89"/>
        <v>17.017600723311965</v>
      </c>
      <c r="T88" s="9">
        <f t="shared" si="90"/>
        <v>0</v>
      </c>
      <c r="U88" s="60">
        <f t="shared" si="91"/>
        <v>50.062932182219853</v>
      </c>
      <c r="V88" s="58">
        <f t="shared" si="92"/>
        <v>0</v>
      </c>
      <c r="W88" s="61">
        <f t="shared" si="93"/>
        <v>0</v>
      </c>
      <c r="X88" s="60">
        <f t="shared" si="94"/>
        <v>50.052959484827888</v>
      </c>
      <c r="Y88" s="58">
        <f t="shared" si="70"/>
        <v>0</v>
      </c>
      <c r="Z88" s="61">
        <f t="shared" si="71"/>
        <v>0</v>
      </c>
      <c r="AB88" s="25">
        <f t="shared" si="72"/>
        <v>88.603696228176233</v>
      </c>
      <c r="AC88" s="76">
        <f t="shared" si="80"/>
        <v>86.372122685805536</v>
      </c>
      <c r="AD88" s="33">
        <f t="shared" si="78"/>
        <v>99.99045162375549</v>
      </c>
      <c r="AE88" s="52">
        <f t="shared" si="95"/>
        <v>3.207230223168267E-3</v>
      </c>
      <c r="AF88" s="53">
        <f t="shared" si="96"/>
        <v>6.2858835293465282E-2</v>
      </c>
      <c r="AG88" s="82">
        <f t="shared" si="97"/>
        <v>8.8981243019396834E-17</v>
      </c>
      <c r="AH88" s="6">
        <f t="shared" si="98"/>
        <v>25.956900398547528</v>
      </c>
      <c r="AI88" s="9">
        <f t="shared" si="73"/>
        <v>1.7439525415917176E-15</v>
      </c>
      <c r="AJ88" s="60">
        <f t="shared" si="99"/>
        <v>50.280746162073619</v>
      </c>
      <c r="AK88" s="58">
        <f t="shared" si="100"/>
        <v>5.517808432387028E-14</v>
      </c>
      <c r="AL88" s="61">
        <f t="shared" si="101"/>
        <v>2.7743952515980153E-12</v>
      </c>
      <c r="AN88" s="166">
        <f t="shared" si="102"/>
        <v>5.2704130697184357E-3</v>
      </c>
      <c r="AO88" s="167">
        <f t="shared" si="103"/>
        <v>30.034014495382369</v>
      </c>
      <c r="AP88" s="299">
        <f t="shared" si="104"/>
        <v>0</v>
      </c>
      <c r="AQ88" s="168">
        <f t="shared" si="74"/>
        <v>0</v>
      </c>
      <c r="AR88" s="168">
        <f t="shared" si="105"/>
        <v>0</v>
      </c>
      <c r="AS88" s="169">
        <f t="shared" si="75"/>
        <v>0</v>
      </c>
      <c r="AT88" s="168">
        <f t="shared" si="106"/>
        <v>17.098851031332003</v>
      </c>
      <c r="AU88" s="170">
        <f t="shared" si="79"/>
        <v>0</v>
      </c>
    </row>
    <row r="89" spans="2:47" x14ac:dyDescent="0.2">
      <c r="B89" s="34">
        <f>IF(AND((G89-B$6)*(G88-B$6)&lt;=0,ISNUMBER(SWeRF!C90)),(F88+(B$6-G88)*(F89-F88)/(G89-G88)),0)</f>
        <v>0</v>
      </c>
      <c r="C89" s="34">
        <f>IF(AND((G89-C$6)*(G88-C$6)&lt;=0,ISNUMBER(SWeRF!C90)),(F88+(C$6-G88)*(F89-F88)/(G89-G88)),0)</f>
        <v>0</v>
      </c>
      <c r="D89" s="322">
        <f>IF(AND((G89-D$6)*(G88-D$6)&lt;=0,ISNUMBER(SWeRF!C90)),(F88+(D$6-G88)*(F89-F88)/(G89-G88)),0)</f>
        <v>0</v>
      </c>
      <c r="E89" s="34">
        <f>IF(AND((G89-E$6)*(G88-E$6)&lt;=0,ISNUMBER(SWeRF!C90)),(F88+(E$6-G88)*(F89-F88)/(G89-G88)),0)</f>
        <v>0</v>
      </c>
      <c r="F89" s="100">
        <f>IF(ISNUMBER(SWeRF!C90),SWeRF!C90,F88)</f>
        <v>57.275253474171336</v>
      </c>
      <c r="G89" s="32">
        <f>IF(ISNUMBER(SWeRF!D90),SWeRF!D90,G88)</f>
        <v>99.992887302902375</v>
      </c>
      <c r="H89" s="76">
        <f t="shared" si="76"/>
        <v>55.833899586492315</v>
      </c>
      <c r="I89" s="35">
        <f t="shared" si="81"/>
        <v>2.435679146884695E-3</v>
      </c>
      <c r="J89" s="35">
        <f t="shared" si="82"/>
        <v>4.3623661698778241E-5</v>
      </c>
      <c r="K89" s="36">
        <f t="shared" si="83"/>
        <v>4.7776758907788063E-2</v>
      </c>
      <c r="L89" s="144"/>
      <c r="M89" s="25">
        <f t="shared" si="84"/>
        <v>120.14158524979823</v>
      </c>
      <c r="N89" s="33">
        <f t="shared" si="77"/>
        <v>117.11817582831382</v>
      </c>
      <c r="O89" s="33">
        <f t="shared" si="85"/>
        <v>99.992887302902375</v>
      </c>
      <c r="P89" s="52">
        <f t="shared" si="86"/>
        <v>2.435679146884695E-3</v>
      </c>
      <c r="Q89" s="53">
        <f t="shared" si="87"/>
        <v>4.7776758907788097E-2</v>
      </c>
      <c r="R89" s="82">
        <f t="shared" si="88"/>
        <v>0</v>
      </c>
      <c r="S89" s="6">
        <f t="shared" si="89"/>
        <v>17.017600723311965</v>
      </c>
      <c r="T89" s="9">
        <f t="shared" si="90"/>
        <v>0</v>
      </c>
      <c r="U89" s="60">
        <f t="shared" si="91"/>
        <v>50.04437550973482</v>
      </c>
      <c r="V89" s="58">
        <f t="shared" si="92"/>
        <v>0</v>
      </c>
      <c r="W89" s="61">
        <f t="shared" si="93"/>
        <v>0</v>
      </c>
      <c r="X89" s="60">
        <f t="shared" si="94"/>
        <v>50.037013516969218</v>
      </c>
      <c r="Y89" s="58">
        <f t="shared" si="70"/>
        <v>0</v>
      </c>
      <c r="Z89" s="61">
        <f t="shared" si="71"/>
        <v>0</v>
      </c>
      <c r="AB89" s="25">
        <f t="shared" si="72"/>
        <v>93.237357590217158</v>
      </c>
      <c r="AC89" s="76">
        <f t="shared" si="80"/>
        <v>90.891003454915392</v>
      </c>
      <c r="AD89" s="33">
        <f t="shared" si="78"/>
        <v>99.992887302902375</v>
      </c>
      <c r="AE89" s="52">
        <f t="shared" si="95"/>
        <v>2.435679146884695E-3</v>
      </c>
      <c r="AF89" s="53">
        <f t="shared" si="96"/>
        <v>4.7776758907788069E-2</v>
      </c>
      <c r="AG89" s="82">
        <f t="shared" si="97"/>
        <v>2.5935171635116495E-17</v>
      </c>
      <c r="AH89" s="6">
        <f t="shared" si="98"/>
        <v>25.956900398547528</v>
      </c>
      <c r="AI89" s="9">
        <f t="shared" si="73"/>
        <v>5.0872810732395004E-16</v>
      </c>
      <c r="AJ89" s="60">
        <f t="shared" si="99"/>
        <v>50.214073213809129</v>
      </c>
      <c r="AK89" s="58">
        <f t="shared" si="100"/>
        <v>2.120525977034049E-14</v>
      </c>
      <c r="AL89" s="61">
        <f t="shared" si="101"/>
        <v>1.0648024666257187E-12</v>
      </c>
      <c r="AN89" s="166">
        <f t="shared" si="102"/>
        <v>5.8363222708531217E-3</v>
      </c>
      <c r="AO89" s="167">
        <f t="shared" si="103"/>
        <v>33.258908811086819</v>
      </c>
      <c r="AP89" s="299">
        <f t="shared" si="104"/>
        <v>0</v>
      </c>
      <c r="AQ89" s="168">
        <f t="shared" si="74"/>
        <v>0</v>
      </c>
      <c r="AR89" s="168">
        <f t="shared" si="105"/>
        <v>0</v>
      </c>
      <c r="AS89" s="169">
        <f t="shared" si="75"/>
        <v>0</v>
      </c>
      <c r="AT89" s="168">
        <f t="shared" si="106"/>
        <v>17.098851031332003</v>
      </c>
      <c r="AU89" s="170">
        <f t="shared" si="79"/>
        <v>0</v>
      </c>
    </row>
    <row r="90" spans="2:47" x14ac:dyDescent="0.2">
      <c r="B90" s="34">
        <f>IF(AND((G90-B$6)*(G89-B$6)&lt;=0,ISNUMBER(SWeRF!C91)),(F89+(B$6-G89)*(F90-F89)/(G90-G89)),0)</f>
        <v>0</v>
      </c>
      <c r="C90" s="34">
        <f>IF(AND((G90-C$6)*(G89-C$6)&lt;=0,ISNUMBER(SWeRF!C91)),(F89+(C$6-G89)*(F90-F89)/(G90-G89)),0)</f>
        <v>0</v>
      </c>
      <c r="D90" s="322">
        <f>IF(AND((G90-D$6)*(G89-D$6)&lt;=0,ISNUMBER(SWeRF!C91)),(F89+(D$6-G89)*(F90-F89)/(G90-G89)),0)</f>
        <v>0</v>
      </c>
      <c r="E90" s="34">
        <f>IF(AND((G90-E$6)*(G89-E$6)&lt;=0,ISNUMBER(SWeRF!C91)),(F89+(E$6-G89)*(F90-F89)/(G90-G89)),0)</f>
        <v>0</v>
      </c>
      <c r="F90" s="100">
        <f>IF(ISNUMBER(SWeRF!C91),SWeRF!C91,F89)</f>
        <v>60.268126188519034</v>
      </c>
      <c r="G90" s="32">
        <f>IF(ISNUMBER(SWeRF!D91),SWeRF!D91,G89)</f>
        <v>99.994727555246499</v>
      </c>
      <c r="H90" s="76">
        <f t="shared" si="76"/>
        <v>58.752635718414972</v>
      </c>
      <c r="I90" s="35">
        <f t="shared" si="81"/>
        <v>1.8402523441238827E-3</v>
      </c>
      <c r="J90" s="35">
        <f t="shared" si="82"/>
        <v>3.1322038945515564E-5</v>
      </c>
      <c r="K90" s="36">
        <f t="shared" si="83"/>
        <v>3.6125717971883277E-2</v>
      </c>
      <c r="L90" s="144"/>
      <c r="M90" s="25">
        <f t="shared" si="84"/>
        <v>126.419488018308</v>
      </c>
      <c r="N90" s="33">
        <f t="shared" si="77"/>
        <v>123.24056838958263</v>
      </c>
      <c r="O90" s="33">
        <f t="shared" si="85"/>
        <v>99.994727555246499</v>
      </c>
      <c r="P90" s="52">
        <f t="shared" si="86"/>
        <v>1.8402523441238827E-3</v>
      </c>
      <c r="Q90" s="53">
        <f t="shared" si="87"/>
        <v>3.6125717971883235E-2</v>
      </c>
      <c r="R90" s="82">
        <f t="shared" si="88"/>
        <v>0</v>
      </c>
      <c r="S90" s="6">
        <f t="shared" si="89"/>
        <v>17.017600723311965</v>
      </c>
      <c r="T90" s="9">
        <f t="shared" si="90"/>
        <v>0</v>
      </c>
      <c r="U90" s="60">
        <f t="shared" si="91"/>
        <v>50.03073322082313</v>
      </c>
      <c r="V90" s="58">
        <f t="shared" si="92"/>
        <v>0</v>
      </c>
      <c r="W90" s="61">
        <f t="shared" si="93"/>
        <v>0</v>
      </c>
      <c r="X90" s="60">
        <f t="shared" si="94"/>
        <v>50.025396439913415</v>
      </c>
      <c r="Y90" s="58">
        <f t="shared" si="70"/>
        <v>0</v>
      </c>
      <c r="Z90" s="61">
        <f t="shared" si="71"/>
        <v>0</v>
      </c>
      <c r="AB90" s="25">
        <f t="shared" si="72"/>
        <v>98.109401388599963</v>
      </c>
      <c r="AC90" s="76">
        <f t="shared" si="80"/>
        <v>95.642361640807692</v>
      </c>
      <c r="AD90" s="33">
        <f t="shared" si="78"/>
        <v>99.994727555246499</v>
      </c>
      <c r="AE90" s="52">
        <f t="shared" si="95"/>
        <v>1.8402523441238827E-3</v>
      </c>
      <c r="AF90" s="53">
        <f t="shared" si="96"/>
        <v>3.6125717971883339E-2</v>
      </c>
      <c r="AG90" s="82">
        <f t="shared" si="97"/>
        <v>7.3788054169274347E-18</v>
      </c>
      <c r="AH90" s="6">
        <f t="shared" si="98"/>
        <v>25.956900398547528</v>
      </c>
      <c r="AI90" s="9">
        <f t="shared" si="73"/>
        <v>1.4485222329018831E-16</v>
      </c>
      <c r="AJ90" s="60">
        <f t="shared" si="99"/>
        <v>50.160972989843287</v>
      </c>
      <c r="AK90" s="58">
        <f t="shared" si="100"/>
        <v>7.9936057773011271E-15</v>
      </c>
      <c r="AL90" s="61">
        <f t="shared" si="101"/>
        <v>4.0096704348665709E-13</v>
      </c>
      <c r="AN90" s="166">
        <f t="shared" si="102"/>
        <v>6.4624627264958986E-3</v>
      </c>
      <c r="AO90" s="167">
        <f t="shared" si="103"/>
        <v>36.827037394587983</v>
      </c>
      <c r="AP90" s="299">
        <f t="shared" si="104"/>
        <v>0</v>
      </c>
      <c r="AQ90" s="168">
        <f t="shared" si="74"/>
        <v>0</v>
      </c>
      <c r="AR90" s="168">
        <f t="shared" si="105"/>
        <v>0</v>
      </c>
      <c r="AS90" s="169">
        <f t="shared" si="75"/>
        <v>0</v>
      </c>
      <c r="AT90" s="168">
        <f t="shared" si="106"/>
        <v>17.098851031332003</v>
      </c>
      <c r="AU90" s="170">
        <f t="shared" si="79"/>
        <v>0</v>
      </c>
    </row>
    <row r="91" spans="2:47" x14ac:dyDescent="0.2">
      <c r="B91" s="34">
        <f>IF(AND((G91-B$6)*(G90-B$6)&lt;=0,ISNUMBER(SWeRF!C92)),(F90+(B$6-G90)*(F91-F90)/(G91-G90)),0)</f>
        <v>0</v>
      </c>
      <c r="C91" s="34">
        <f>IF(AND((G91-C$6)*(G90-C$6)&lt;=0,ISNUMBER(SWeRF!C92)),(F90+(C$6-G90)*(F91-F90)/(G91-G90)),0)</f>
        <v>0</v>
      </c>
      <c r="D91" s="322">
        <f>IF(AND((G91-D$6)*(G90-D$6)&lt;=0,ISNUMBER(SWeRF!C92)),(F90+(D$6-G90)*(F91-F90)/(G91-G90)),0)</f>
        <v>0</v>
      </c>
      <c r="E91" s="34">
        <f>IF(AND((G91-E$6)*(G90-E$6)&lt;=0,ISNUMBER(SWeRF!C92)),(F90+(E$6-G90)*(F91-F90)/(G91-G90)),0)</f>
        <v>0</v>
      </c>
      <c r="F91" s="100">
        <f>IF(ISNUMBER(SWeRF!C92),SWeRF!C92,F90)</f>
        <v>63.414969647287528</v>
      </c>
      <c r="G91" s="32">
        <f>IF(ISNUMBER(SWeRF!D92),SWeRF!D92,G90)</f>
        <v>99.996110808619989</v>
      </c>
      <c r="H91" s="76">
        <f t="shared" si="76"/>
        <v>61.82152855554309</v>
      </c>
      <c r="I91" s="35">
        <f t="shared" si="81"/>
        <v>1.3832533734898789E-3</v>
      </c>
      <c r="J91" s="35">
        <f t="shared" si="82"/>
        <v>2.2374946168584382E-5</v>
      </c>
      <c r="K91" s="36">
        <f t="shared" si="83"/>
        <v>2.7174798825938991E-2</v>
      </c>
      <c r="L91" s="144"/>
      <c r="M91" s="25">
        <f t="shared" si="84"/>
        <v>133.02036254503352</v>
      </c>
      <c r="N91" s="33">
        <f t="shared" si="77"/>
        <v>129.67793231291458</v>
      </c>
      <c r="O91" s="33">
        <f t="shared" si="85"/>
        <v>99.996110808619989</v>
      </c>
      <c r="P91" s="52">
        <f t="shared" si="86"/>
        <v>1.3832533734898789E-3</v>
      </c>
      <c r="Q91" s="53">
        <f t="shared" si="87"/>
        <v>2.7174798825938994E-2</v>
      </c>
      <c r="R91" s="82">
        <f t="shared" si="88"/>
        <v>0</v>
      </c>
      <c r="S91" s="6">
        <f t="shared" si="89"/>
        <v>17.017600723311965</v>
      </c>
      <c r="T91" s="9">
        <f t="shared" si="90"/>
        <v>0</v>
      </c>
      <c r="U91" s="60">
        <f t="shared" si="91"/>
        <v>50.020886485972291</v>
      </c>
      <c r="V91" s="58">
        <f t="shared" si="92"/>
        <v>0</v>
      </c>
      <c r="W91" s="61">
        <f t="shared" si="93"/>
        <v>0</v>
      </c>
      <c r="X91" s="60">
        <f t="shared" si="94"/>
        <v>50.017091077294943</v>
      </c>
      <c r="Y91" s="58">
        <f t="shared" si="70"/>
        <v>0</v>
      </c>
      <c r="Z91" s="61">
        <f t="shared" si="71"/>
        <v>0</v>
      </c>
      <c r="AB91" s="25">
        <f t="shared" si="72"/>
        <v>103.23209139953019</v>
      </c>
      <c r="AC91" s="76">
        <f t="shared" si="80"/>
        <v>100.63815723323408</v>
      </c>
      <c r="AD91" s="33">
        <f t="shared" si="78"/>
        <v>99.996110808619989</v>
      </c>
      <c r="AE91" s="52">
        <f t="shared" si="95"/>
        <v>1.3832533734898789E-3</v>
      </c>
      <c r="AF91" s="53">
        <f t="shared" si="96"/>
        <v>2.7174798825938942E-2</v>
      </c>
      <c r="AG91" s="82">
        <f t="shared" si="97"/>
        <v>2.0781676072454705E-18</v>
      </c>
      <c r="AH91" s="6">
        <f t="shared" si="98"/>
        <v>25.956900398547528</v>
      </c>
      <c r="AI91" s="9">
        <f t="shared" si="73"/>
        <v>4.082678396872304E-17</v>
      </c>
      <c r="AJ91" s="60">
        <f t="shared" si="99"/>
        <v>50.11928181067934</v>
      </c>
      <c r="AK91" s="58">
        <f t="shared" si="100"/>
        <v>2.9976021664879227E-15</v>
      </c>
      <c r="AL91" s="61">
        <f t="shared" si="101"/>
        <v>1.5023766773851113E-13</v>
      </c>
      <c r="AN91" s="166">
        <f t="shared" si="102"/>
        <v>7.1552171800038245E-3</v>
      </c>
      <c r="AO91" s="167">
        <f t="shared" si="103"/>
        <v>40.774772993898281</v>
      </c>
      <c r="AP91" s="299">
        <f t="shared" si="104"/>
        <v>0</v>
      </c>
      <c r="AQ91" s="168">
        <f t="shared" si="74"/>
        <v>0</v>
      </c>
      <c r="AR91" s="168">
        <f t="shared" si="105"/>
        <v>0</v>
      </c>
      <c r="AS91" s="169">
        <f t="shared" si="75"/>
        <v>0</v>
      </c>
      <c r="AT91" s="168">
        <f t="shared" si="106"/>
        <v>17.098851031332003</v>
      </c>
      <c r="AU91" s="170">
        <f t="shared" si="79"/>
        <v>0</v>
      </c>
    </row>
    <row r="92" spans="2:47" x14ac:dyDescent="0.2">
      <c r="B92" s="34">
        <f>IF(AND((G92-B$6)*(G91-B$6)&lt;=0,ISNUMBER(SWeRF!C93)),(F91+(B$6-G91)*(F92-F91)/(G92-G91)),0)</f>
        <v>0</v>
      </c>
      <c r="C92" s="34">
        <f>IF(AND((G92-C$6)*(G91-C$6)&lt;=0,ISNUMBER(SWeRF!C93)),(F91+(C$6-G91)*(F92-F91)/(G92-G91)),0)</f>
        <v>0</v>
      </c>
      <c r="D92" s="322">
        <f>IF(AND((G92-D$6)*(G91-D$6)&lt;=0,ISNUMBER(SWeRF!C93)),(F91+(D$6-G91)*(F92-F91)/(G92-G91)),0)</f>
        <v>0</v>
      </c>
      <c r="E92" s="34">
        <f>IF(AND((G92-E$6)*(G91-E$6)&lt;=0,ISNUMBER(SWeRF!C93)),(F91+(E$6-G91)*(F92-F91)/(G92-G91)),0)</f>
        <v>0</v>
      </c>
      <c r="F92" s="100">
        <f>IF(ISNUMBER(SWeRF!C93),SWeRF!C93,F91)</f>
        <v>66.72370499928607</v>
      </c>
      <c r="G92" s="32">
        <f>IF(ISNUMBER(SWeRF!D93),SWeRF!D93,G91)</f>
        <v>99.997145218784084</v>
      </c>
      <c r="H92" s="76">
        <f t="shared" si="76"/>
        <v>65.048303031549509</v>
      </c>
      <c r="I92" s="35">
        <f t="shared" si="81"/>
        <v>1.034410164095334E-3</v>
      </c>
      <c r="J92" s="35">
        <f t="shared" si="82"/>
        <v>1.5902185236002665E-5</v>
      </c>
      <c r="K92" s="36">
        <f t="shared" si="83"/>
        <v>2.0336055518113794E-2</v>
      </c>
      <c r="L92" s="144"/>
      <c r="M92" s="25">
        <f t="shared" si="84"/>
        <v>139.96082437189241</v>
      </c>
      <c r="N92" s="33">
        <f t="shared" si="77"/>
        <v>136.44647155588484</v>
      </c>
      <c r="O92" s="33">
        <f t="shared" si="85"/>
        <v>99.997145218784084</v>
      </c>
      <c r="P92" s="52">
        <f t="shared" si="86"/>
        <v>1.034410164095334E-3</v>
      </c>
      <c r="Q92" s="53">
        <f t="shared" si="87"/>
        <v>2.0336055518113825E-2</v>
      </c>
      <c r="R92" s="82">
        <f t="shared" si="88"/>
        <v>0</v>
      </c>
      <c r="S92" s="6">
        <f t="shared" si="89"/>
        <v>17.017600723311965</v>
      </c>
      <c r="T92" s="9">
        <f t="shared" si="90"/>
        <v>0</v>
      </c>
      <c r="U92" s="60">
        <f t="shared" si="91"/>
        <v>50.01391531442799</v>
      </c>
      <c r="V92" s="58">
        <f t="shared" si="92"/>
        <v>0</v>
      </c>
      <c r="W92" s="61">
        <f t="shared" si="93"/>
        <v>0</v>
      </c>
      <c r="X92" s="60">
        <f t="shared" si="94"/>
        <v>50.011269825249236</v>
      </c>
      <c r="Y92" s="58">
        <f t="shared" si="70"/>
        <v>0</v>
      </c>
      <c r="Z92" s="61">
        <f t="shared" si="71"/>
        <v>0</v>
      </c>
      <c r="AB92" s="25">
        <f t="shared" si="72"/>
        <v>108.6183223190459</v>
      </c>
      <c r="AC92" s="76">
        <f t="shared" si="80"/>
        <v>105.89096551313231</v>
      </c>
      <c r="AD92" s="33">
        <f t="shared" si="78"/>
        <v>99.997145218784084</v>
      </c>
      <c r="AE92" s="52">
        <f t="shared" si="95"/>
        <v>1.034410164095334E-3</v>
      </c>
      <c r="AF92" s="53">
        <f t="shared" si="96"/>
        <v>2.0336055518113783E-2</v>
      </c>
      <c r="AG92" s="82">
        <f t="shared" si="97"/>
        <v>0</v>
      </c>
      <c r="AH92" s="6">
        <f t="shared" si="98"/>
        <v>25.956900398547528</v>
      </c>
      <c r="AI92" s="9">
        <f t="shared" si="73"/>
        <v>0</v>
      </c>
      <c r="AJ92" s="60">
        <f t="shared" si="99"/>
        <v>50.087035871835496</v>
      </c>
      <c r="AK92" s="58">
        <f t="shared" si="100"/>
        <v>0</v>
      </c>
      <c r="AL92" s="61">
        <f t="shared" si="101"/>
        <v>0</v>
      </c>
      <c r="AN92" s="166">
        <f t="shared" si="102"/>
        <v>7.9216433381555321E-3</v>
      </c>
      <c r="AO92" s="167">
        <f t="shared" si="103"/>
        <v>45.142334708524636</v>
      </c>
      <c r="AP92" s="299">
        <f t="shared" si="104"/>
        <v>0</v>
      </c>
      <c r="AQ92" s="168">
        <f t="shared" si="74"/>
        <v>0</v>
      </c>
      <c r="AR92" s="168">
        <f t="shared" si="105"/>
        <v>0</v>
      </c>
      <c r="AS92" s="169">
        <f t="shared" si="75"/>
        <v>0</v>
      </c>
      <c r="AT92" s="168">
        <f t="shared" si="106"/>
        <v>17.098851031332003</v>
      </c>
      <c r="AU92" s="170">
        <f t="shared" si="79"/>
        <v>0</v>
      </c>
    </row>
    <row r="93" spans="2:47" x14ac:dyDescent="0.2">
      <c r="B93" s="34">
        <f>IF(AND((G93-B$6)*(G92-B$6)&lt;=0,ISNUMBER(SWeRF!C94)),(F92+(B$6-G92)*(F93-F92)/(G93-G92)),0)</f>
        <v>0</v>
      </c>
      <c r="C93" s="34">
        <f>IF(AND((G93-C$6)*(G92-C$6)&lt;=0,ISNUMBER(SWeRF!C94)),(F92+(C$6-G92)*(F93-F92)/(G93-G92)),0)</f>
        <v>0</v>
      </c>
      <c r="D93" s="322">
        <f>IF(AND((G93-D$6)*(G92-D$6)&lt;=0,ISNUMBER(SWeRF!C94)),(F92+(D$6-G92)*(F93-F92)/(G93-G92)),0)</f>
        <v>0</v>
      </c>
      <c r="E93" s="34">
        <f>IF(AND((G93-E$6)*(G92-E$6)&lt;=0,ISNUMBER(SWeRF!C94)),(F92+(E$6-G92)*(F93-F92)/(G93-G92)),0)</f>
        <v>0</v>
      </c>
      <c r="F93" s="100">
        <f>IF(ISNUMBER(SWeRF!C94),SWeRF!C94,F92)</f>
        <v>70.202660903196673</v>
      </c>
      <c r="G93" s="32">
        <f>IF(ISNUMBER(SWeRF!D94),SWeRF!D94,G92)</f>
        <v>99.997914792216179</v>
      </c>
      <c r="H93" s="76">
        <f t="shared" si="76"/>
        <v>68.441081495471764</v>
      </c>
      <c r="I93" s="35">
        <f t="shared" si="81"/>
        <v>7.6957343209471674E-4</v>
      </c>
      <c r="J93" s="35">
        <f t="shared" si="82"/>
        <v>1.1244320155075774E-5</v>
      </c>
      <c r="K93" s="36">
        <f t="shared" si="83"/>
        <v>1.5139725664110593E-2</v>
      </c>
      <c r="L93" s="144"/>
      <c r="M93" s="25">
        <f t="shared" si="84"/>
        <v>147.25834384072289</v>
      </c>
      <c r="N93" s="33">
        <f t="shared" si="77"/>
        <v>143.56322370157045</v>
      </c>
      <c r="O93" s="33">
        <f t="shared" si="85"/>
        <v>99.997914792216179</v>
      </c>
      <c r="P93" s="52">
        <f t="shared" si="86"/>
        <v>7.6957343209471674E-4</v>
      </c>
      <c r="Q93" s="53">
        <f t="shared" si="87"/>
        <v>1.513972566411056E-2</v>
      </c>
      <c r="R93" s="82">
        <f t="shared" si="88"/>
        <v>0</v>
      </c>
      <c r="S93" s="6">
        <f t="shared" si="89"/>
        <v>17.017600723311965</v>
      </c>
      <c r="T93" s="9">
        <f t="shared" si="90"/>
        <v>0</v>
      </c>
      <c r="U93" s="60">
        <f t="shared" si="91"/>
        <v>50.009079188917127</v>
      </c>
      <c r="V93" s="58">
        <f t="shared" si="92"/>
        <v>0</v>
      </c>
      <c r="W93" s="61">
        <f t="shared" si="93"/>
        <v>0</v>
      </c>
      <c r="X93" s="60">
        <f t="shared" si="94"/>
        <v>50.007273791293038</v>
      </c>
      <c r="Y93" s="58">
        <f t="shared" si="70"/>
        <v>0</v>
      </c>
      <c r="Z93" s="61">
        <f t="shared" si="71"/>
        <v>0</v>
      </c>
      <c r="AB93" s="25">
        <f t="shared" si="72"/>
        <v>114.28165222119615</v>
      </c>
      <c r="AC93" s="76">
        <f t="shared" si="80"/>
        <v>111.41400870678244</v>
      </c>
      <c r="AD93" s="33">
        <f t="shared" si="78"/>
        <v>99.997914792216179</v>
      </c>
      <c r="AE93" s="52">
        <f t="shared" si="95"/>
        <v>7.6957343209471674E-4</v>
      </c>
      <c r="AF93" s="53">
        <f t="shared" si="96"/>
        <v>1.5139725664110612E-2</v>
      </c>
      <c r="AG93" s="82">
        <f t="shared" si="97"/>
        <v>0</v>
      </c>
      <c r="AH93" s="6">
        <f t="shared" si="98"/>
        <v>25.956900398547528</v>
      </c>
      <c r="AI93" s="9">
        <f t="shared" si="73"/>
        <v>0</v>
      </c>
      <c r="AJ93" s="60">
        <f t="shared" si="99"/>
        <v>50.062485701964533</v>
      </c>
      <c r="AK93" s="58">
        <f t="shared" si="100"/>
        <v>0</v>
      </c>
      <c r="AL93" s="61">
        <f t="shared" si="101"/>
        <v>0</v>
      </c>
      <c r="AN93" s="166">
        <f t="shared" si="102"/>
        <v>8.7695451745499146E-3</v>
      </c>
      <c r="AO93" s="167">
        <f t="shared" si="103"/>
        <v>49.974194319538142</v>
      </c>
      <c r="AP93" s="299">
        <f t="shared" si="104"/>
        <v>0</v>
      </c>
      <c r="AQ93" s="168">
        <f t="shared" si="74"/>
        <v>0</v>
      </c>
      <c r="AR93" s="168">
        <f t="shared" si="105"/>
        <v>0</v>
      </c>
      <c r="AS93" s="169">
        <f t="shared" si="75"/>
        <v>0</v>
      </c>
      <c r="AT93" s="168">
        <f t="shared" si="106"/>
        <v>17.098851031332003</v>
      </c>
      <c r="AU93" s="170">
        <f t="shared" si="79"/>
        <v>0</v>
      </c>
    </row>
    <row r="94" spans="2:47" x14ac:dyDescent="0.2">
      <c r="B94" s="34">
        <f>IF(AND((G94-B$6)*(G93-B$6)&lt;=0,ISNUMBER(SWeRF!C95)),(F93+(B$6-G93)*(F94-F93)/(G94-G93)),0)</f>
        <v>0</v>
      </c>
      <c r="C94" s="34">
        <f>IF(AND((G94-C$6)*(G93-C$6)&lt;=0,ISNUMBER(SWeRF!C95)),(F93+(C$6-G93)*(F94-F93)/(G94-G93)),0)</f>
        <v>0</v>
      </c>
      <c r="D94" s="322">
        <f>IF(AND((G94-D$6)*(G93-D$6)&lt;=0,ISNUMBER(SWeRF!C95)),(F93+(D$6-G93)*(F94-F93)/(G94-G93)),0)</f>
        <v>0</v>
      </c>
      <c r="E94" s="34">
        <f>IF(AND((G94-E$6)*(G93-E$6)&lt;=0,ISNUMBER(SWeRF!C95)),(F93+(E$6-G93)*(F94-F93)/(G94-G93)),0)</f>
        <v>0</v>
      </c>
      <c r="F94" s="100">
        <f>IF(ISNUMBER(SWeRF!C95),SWeRF!C95,F93)</f>
        <v>73.860594492247102</v>
      </c>
      <c r="G94" s="32">
        <f>IF(ISNUMBER(SWeRF!D95),SWeRF!D95,G93)</f>
        <v>99.998484396315192</v>
      </c>
      <c r="H94" s="76">
        <f t="shared" si="76"/>
        <v>72.00840415706864</v>
      </c>
      <c r="I94" s="35">
        <f t="shared" si="81"/>
        <v>5.6960409901307685E-4</v>
      </c>
      <c r="J94" s="35">
        <f t="shared" si="82"/>
        <v>7.9102447232496018E-6</v>
      </c>
      <c r="K94" s="36">
        <f t="shared" si="83"/>
        <v>1.1212965236447631E-2</v>
      </c>
      <c r="L94" s="144"/>
      <c r="M94" s="25">
        <f t="shared" si="84"/>
        <v>154.93129006915265</v>
      </c>
      <c r="N94" s="33">
        <f t="shared" si="77"/>
        <v>151.04610284509184</v>
      </c>
      <c r="O94" s="33">
        <f t="shared" si="85"/>
        <v>99.998484396315192</v>
      </c>
      <c r="P94" s="52">
        <f t="shared" si="86"/>
        <v>5.6960409901307685E-4</v>
      </c>
      <c r="Q94" s="53">
        <f t="shared" si="87"/>
        <v>1.1212965236447651E-2</v>
      </c>
      <c r="R94" s="82">
        <f t="shared" si="88"/>
        <v>0</v>
      </c>
      <c r="S94" s="6">
        <f t="shared" si="89"/>
        <v>17.017600723311965</v>
      </c>
      <c r="T94" s="9">
        <f t="shared" si="90"/>
        <v>0</v>
      </c>
      <c r="U94" s="60">
        <f t="shared" si="91"/>
        <v>50.00579509641171</v>
      </c>
      <c r="V94" s="58">
        <f t="shared" si="92"/>
        <v>0</v>
      </c>
      <c r="W94" s="61">
        <f t="shared" si="93"/>
        <v>0</v>
      </c>
      <c r="X94" s="60">
        <f t="shared" si="94"/>
        <v>50.004590095730904</v>
      </c>
      <c r="Y94" s="58">
        <f t="shared" si="70"/>
        <v>0</v>
      </c>
      <c r="Z94" s="61">
        <f t="shared" si="71"/>
        <v>0</v>
      </c>
      <c r="AB94" s="25">
        <f t="shared" si="72"/>
        <v>120.23633668605606</v>
      </c>
      <c r="AC94" s="76">
        <f t="shared" si="80"/>
        <v>117.22118926843605</v>
      </c>
      <c r="AD94" s="33">
        <f t="shared" si="78"/>
        <v>99.998484396315192</v>
      </c>
      <c r="AE94" s="52">
        <f t="shared" si="95"/>
        <v>5.6960409901307685E-4</v>
      </c>
      <c r="AF94" s="53">
        <f t="shared" si="96"/>
        <v>1.121296523644762E-2</v>
      </c>
      <c r="AG94" s="82">
        <f t="shared" si="97"/>
        <v>0</v>
      </c>
      <c r="AH94" s="6">
        <f t="shared" si="98"/>
        <v>25.956900398547528</v>
      </c>
      <c r="AI94" s="9">
        <f t="shared" si="73"/>
        <v>0</v>
      </c>
      <c r="AJ94" s="60">
        <f t="shared" si="99"/>
        <v>50.044102079181052</v>
      </c>
      <c r="AK94" s="58">
        <f t="shared" si="100"/>
        <v>0</v>
      </c>
      <c r="AL94" s="61">
        <f t="shared" si="101"/>
        <v>0</v>
      </c>
      <c r="AN94" s="166">
        <f t="shared" si="102"/>
        <v>9.7075517617884761E-3</v>
      </c>
      <c r="AO94" s="167">
        <f t="shared" si="103"/>
        <v>55.319525523225401</v>
      </c>
      <c r="AP94" s="299">
        <f t="shared" si="104"/>
        <v>0</v>
      </c>
      <c r="AQ94" s="168">
        <f t="shared" si="74"/>
        <v>0</v>
      </c>
      <c r="AR94" s="168">
        <f t="shared" si="105"/>
        <v>0</v>
      </c>
      <c r="AS94" s="169">
        <f t="shared" si="75"/>
        <v>0</v>
      </c>
      <c r="AT94" s="168">
        <f t="shared" si="106"/>
        <v>17.098851031332003</v>
      </c>
      <c r="AU94" s="170">
        <f t="shared" si="79"/>
        <v>0</v>
      </c>
    </row>
    <row r="95" spans="2:47" x14ac:dyDescent="0.2">
      <c r="B95" s="34">
        <f>IF(AND((G95-B$6)*(G94-B$6)&lt;=0,ISNUMBER(SWeRF!C96)),(F94+(B$6-G94)*(F95-F94)/(G95-G94)),0)</f>
        <v>0</v>
      </c>
      <c r="C95" s="34">
        <f>IF(AND((G95-C$6)*(G94-C$6)&lt;=0,ISNUMBER(SWeRF!C96)),(F94+(C$6-G94)*(F95-F94)/(G95-G94)),0)</f>
        <v>0</v>
      </c>
      <c r="D95" s="322">
        <f>IF(AND((G95-D$6)*(G94-D$6)&lt;=0,ISNUMBER(SWeRF!C96)),(F94+(D$6-G94)*(F95-F94)/(G95-G94)),0)</f>
        <v>0</v>
      </c>
      <c r="E95" s="34">
        <f>IF(AND((G95-E$6)*(G94-E$6)&lt;=0,ISNUMBER(SWeRF!C96)),(F94+(E$6-G94)*(F95-F94)/(G95-G94)),0)</f>
        <v>0</v>
      </c>
      <c r="F95" s="100">
        <f>IF(ISNUMBER(SWeRF!C96),SWeRF!C96,F94)</f>
        <v>77.706713417428915</v>
      </c>
      <c r="G95" s="32">
        <f>IF(ISNUMBER(SWeRF!D96),SWeRF!D96,G94)</f>
        <v>99.99890382811752</v>
      </c>
      <c r="H95" s="76">
        <f t="shared" si="76"/>
        <v>75.75925058400442</v>
      </c>
      <c r="I95" s="35">
        <f t="shared" si="81"/>
        <v>4.1943180232806299E-4</v>
      </c>
      <c r="J95" s="35">
        <f t="shared" si="82"/>
        <v>5.5363773941108724E-6</v>
      </c>
      <c r="K95" s="36">
        <f t="shared" si="83"/>
        <v>8.2617931565832255E-3</v>
      </c>
      <c r="L95" s="144"/>
      <c r="M95" s="25">
        <f t="shared" si="84"/>
        <v>162.99897718884338</v>
      </c>
      <c r="N95" s="33">
        <f t="shared" si="77"/>
        <v>158.91394468648713</v>
      </c>
      <c r="O95" s="33">
        <f t="shared" si="85"/>
        <v>99.99890382811752</v>
      </c>
      <c r="P95" s="52">
        <f t="shared" si="86"/>
        <v>4.1943180232806299E-4</v>
      </c>
      <c r="Q95" s="53">
        <f t="shared" si="87"/>
        <v>8.2617931565832116E-3</v>
      </c>
      <c r="R95" s="82">
        <f t="shared" si="88"/>
        <v>0</v>
      </c>
      <c r="S95" s="6">
        <f t="shared" si="89"/>
        <v>17.017600723311965</v>
      </c>
      <c r="T95" s="9">
        <f t="shared" si="90"/>
        <v>0</v>
      </c>
      <c r="U95" s="60">
        <f t="shared" si="91"/>
        <v>50.003614456878424</v>
      </c>
      <c r="V95" s="58">
        <f t="shared" si="92"/>
        <v>0</v>
      </c>
      <c r="W95" s="61">
        <f t="shared" si="93"/>
        <v>0</v>
      </c>
      <c r="X95" s="60">
        <f t="shared" si="94"/>
        <v>50.002828763394483</v>
      </c>
      <c r="Y95" s="58">
        <f t="shared" si="70"/>
        <v>0</v>
      </c>
      <c r="Z95" s="61">
        <f t="shared" si="71"/>
        <v>0</v>
      </c>
      <c r="AB95" s="25">
        <f t="shared" si="72"/>
        <v>126.49736468348591</v>
      </c>
      <c r="AC95" s="76">
        <f t="shared" si="80"/>
        <v>123.32712487519699</v>
      </c>
      <c r="AD95" s="33">
        <f t="shared" si="78"/>
        <v>99.99890382811752</v>
      </c>
      <c r="AE95" s="52">
        <f t="shared" si="95"/>
        <v>4.1943180232806299E-4</v>
      </c>
      <c r="AF95" s="53">
        <f t="shared" si="96"/>
        <v>8.2617931565832341E-3</v>
      </c>
      <c r="AG95" s="82">
        <f t="shared" si="97"/>
        <v>0</v>
      </c>
      <c r="AH95" s="6">
        <f t="shared" si="98"/>
        <v>25.956900398547528</v>
      </c>
      <c r="AI95" s="9">
        <f t="shared" si="73"/>
        <v>0</v>
      </c>
      <c r="AJ95" s="60">
        <f t="shared" si="99"/>
        <v>50.030574024988738</v>
      </c>
      <c r="AK95" s="58">
        <f t="shared" si="100"/>
        <v>0</v>
      </c>
      <c r="AL95" s="61">
        <f t="shared" si="101"/>
        <v>0</v>
      </c>
      <c r="AN95" s="166">
        <f t="shared" si="102"/>
        <v>1.0745204427198644E-2</v>
      </c>
      <c r="AO95" s="167">
        <f t="shared" si="103"/>
        <v>61.232700597331323</v>
      </c>
      <c r="AP95" s="299">
        <f t="shared" si="104"/>
        <v>0</v>
      </c>
      <c r="AQ95" s="168">
        <f t="shared" si="74"/>
        <v>0</v>
      </c>
      <c r="AR95" s="168">
        <f t="shared" si="105"/>
        <v>0</v>
      </c>
      <c r="AS95" s="169">
        <f t="shared" si="75"/>
        <v>0</v>
      </c>
      <c r="AT95" s="168">
        <f t="shared" si="106"/>
        <v>17.098851031332003</v>
      </c>
      <c r="AU95" s="170">
        <f t="shared" si="79"/>
        <v>0</v>
      </c>
    </row>
    <row r="96" spans="2:47" x14ac:dyDescent="0.2">
      <c r="B96" s="34">
        <f>IF(AND((G96-B$6)*(G95-B$6)&lt;=0,ISNUMBER(SWeRF!C97)),(F95+(B$6-G95)*(F96-F95)/(G96-G95)),0)</f>
        <v>0</v>
      </c>
      <c r="C96" s="34">
        <f>IF(AND((G96-C$6)*(G95-C$6)&lt;=0,ISNUMBER(SWeRF!C97)),(F95+(C$6-G95)*(F96-F95)/(G96-G95)),0)</f>
        <v>0</v>
      </c>
      <c r="D96" s="322">
        <f>IF(AND((G96-D$6)*(G95-D$6)&lt;=0,ISNUMBER(SWeRF!C97)),(F95+(D$6-G95)*(F96-F95)/(G96-G95)),0)</f>
        <v>0</v>
      </c>
      <c r="E96" s="34">
        <f>IF(AND((G96-E$6)*(G95-E$6)&lt;=0,ISNUMBER(SWeRF!C97)),(F95+(E$6-G95)*(F96-F95)/(G96-G95)),0)</f>
        <v>0</v>
      </c>
      <c r="F96" s="100">
        <f>IF(ISNUMBER(SWeRF!C97),SWeRF!C97,F95)</f>
        <v>81.750699024745984</v>
      </c>
      <c r="G96" s="32">
        <f>IF(ISNUMBER(SWeRF!D97),SWeRF!D97,G95)</f>
        <v>99.999211093924174</v>
      </c>
      <c r="H96" s="76">
        <f t="shared" si="76"/>
        <v>79.703062304973088</v>
      </c>
      <c r="I96" s="35">
        <f t="shared" si="81"/>
        <v>3.0726580665429992E-4</v>
      </c>
      <c r="J96" s="35">
        <f t="shared" si="82"/>
        <v>3.8551317574046086E-6</v>
      </c>
      <c r="K96" s="36">
        <f t="shared" si="83"/>
        <v>6.0559131782378121E-3</v>
      </c>
      <c r="L96" s="144"/>
      <c r="M96" s="25">
        <f t="shared" si="84"/>
        <v>171.48171296249714</v>
      </c>
      <c r="N96" s="33">
        <f t="shared" si="77"/>
        <v>167.18655394342531</v>
      </c>
      <c r="O96" s="33">
        <f t="shared" si="85"/>
        <v>99.999211093924174</v>
      </c>
      <c r="P96" s="52">
        <f t="shared" si="86"/>
        <v>3.0726580665429992E-4</v>
      </c>
      <c r="Q96" s="53">
        <f t="shared" si="87"/>
        <v>6.0559131782378225E-3</v>
      </c>
      <c r="R96" s="82">
        <f t="shared" si="88"/>
        <v>0</v>
      </c>
      <c r="S96" s="6">
        <f t="shared" si="89"/>
        <v>17.017600723311965</v>
      </c>
      <c r="T96" s="9">
        <f t="shared" si="90"/>
        <v>0</v>
      </c>
      <c r="U96" s="60">
        <f t="shared" si="91"/>
        <v>50.00220028093031</v>
      </c>
      <c r="V96" s="58">
        <f t="shared" si="92"/>
        <v>0</v>
      </c>
      <c r="W96" s="61">
        <f t="shared" si="93"/>
        <v>0</v>
      </c>
      <c r="X96" s="60">
        <f t="shared" si="94"/>
        <v>50.001700420386484</v>
      </c>
      <c r="Y96" s="58">
        <f t="shared" si="70"/>
        <v>0</v>
      </c>
      <c r="Z96" s="61">
        <f t="shared" si="71"/>
        <v>0</v>
      </c>
      <c r="AB96" s="25">
        <f t="shared" si="72"/>
        <v>133.0804963029583</v>
      </c>
      <c r="AC96" s="76">
        <f t="shared" si="80"/>
        <v>129.7471852222414</v>
      </c>
      <c r="AD96" s="33">
        <f t="shared" si="78"/>
        <v>99.999211093924174</v>
      </c>
      <c r="AE96" s="52">
        <f t="shared" si="95"/>
        <v>3.0726580665429992E-4</v>
      </c>
      <c r="AF96" s="53">
        <f t="shared" si="96"/>
        <v>6.0559131782378173E-3</v>
      </c>
      <c r="AG96" s="82">
        <f t="shared" si="97"/>
        <v>0</v>
      </c>
      <c r="AH96" s="6">
        <f t="shared" si="98"/>
        <v>25.956900398547528</v>
      </c>
      <c r="AI96" s="9">
        <f t="shared" si="73"/>
        <v>0</v>
      </c>
      <c r="AJ96" s="60">
        <f t="shared" si="99"/>
        <v>50.020799879035216</v>
      </c>
      <c r="AK96" s="58">
        <f t="shared" si="100"/>
        <v>0</v>
      </c>
      <c r="AL96" s="61">
        <f t="shared" si="101"/>
        <v>0</v>
      </c>
      <c r="AN96" s="166">
        <f t="shared" si="102"/>
        <v>1.1893053110742154E-2</v>
      </c>
      <c r="AO96" s="167">
        <f t="shared" si="103"/>
        <v>67.77383950694113</v>
      </c>
      <c r="AP96" s="299">
        <f t="shared" si="104"/>
        <v>0</v>
      </c>
      <c r="AQ96" s="168">
        <f t="shared" si="74"/>
        <v>0</v>
      </c>
      <c r="AR96" s="168">
        <f t="shared" si="105"/>
        <v>0</v>
      </c>
      <c r="AS96" s="169">
        <f t="shared" si="75"/>
        <v>0</v>
      </c>
      <c r="AT96" s="168">
        <f t="shared" si="106"/>
        <v>17.098851031332003</v>
      </c>
      <c r="AU96" s="170">
        <f t="shared" si="79"/>
        <v>0</v>
      </c>
    </row>
    <row r="97" spans="2:47" x14ac:dyDescent="0.2">
      <c r="B97" s="34">
        <f>IF(AND((G97-B$6)*(G96-B$6)&lt;=0,ISNUMBER(SWeRF!C98)),(F96+(B$6-G96)*(F97-F96)/(G97-G96)),0)</f>
        <v>0</v>
      </c>
      <c r="C97" s="34">
        <f>IF(AND((G97-C$6)*(G96-C$6)&lt;=0,ISNUMBER(SWeRF!C98)),(F96+(C$6-G96)*(F97-F96)/(G97-G96)),0)</f>
        <v>0</v>
      </c>
      <c r="D97" s="322">
        <f>IF(AND((G97-D$6)*(G96-D$6)&lt;=0,ISNUMBER(SWeRF!C98)),(F96+(D$6-G96)*(F97-F96)/(G97-G96)),0)</f>
        <v>0</v>
      </c>
      <c r="E97" s="34">
        <f>IF(AND((G97-E$6)*(G96-E$6)&lt;=0,ISNUMBER(SWeRF!C98)),(F96+(E$6-G96)*(F97-F96)/(G97-G96)),0)</f>
        <v>0</v>
      </c>
      <c r="F97" s="100">
        <f>IF(ISNUMBER(SWeRF!C98),SWeRF!C98,F96)</f>
        <v>86.002730724835615</v>
      </c>
      <c r="G97" s="32">
        <f>IF(ISNUMBER(SWeRF!D98),SWeRF!D98,G96)</f>
        <v>99.999435033635834</v>
      </c>
      <c r="H97" s="76">
        <f t="shared" si="76"/>
        <v>83.849766575657867</v>
      </c>
      <c r="I97" s="35">
        <f t="shared" si="81"/>
        <v>2.2393971165968196E-4</v>
      </c>
      <c r="J97" s="35">
        <f t="shared" si="82"/>
        <v>2.6707255226240919E-6</v>
      </c>
      <c r="K97" s="36">
        <f t="shared" si="83"/>
        <v>4.416075390333671E-3</v>
      </c>
      <c r="L97" s="144"/>
      <c r="M97" s="25">
        <f t="shared" si="84"/>
        <v>180.40084990200509</v>
      </c>
      <c r="N97" s="33">
        <f t="shared" si="77"/>
        <v>175.88475420310363</v>
      </c>
      <c r="O97" s="33">
        <f t="shared" si="85"/>
        <v>99.999435033635834</v>
      </c>
      <c r="P97" s="52">
        <f t="shared" si="86"/>
        <v>2.2393971165968196E-4</v>
      </c>
      <c r="Q97" s="53">
        <f t="shared" si="87"/>
        <v>4.4160753903336736E-3</v>
      </c>
      <c r="R97" s="82">
        <f t="shared" si="88"/>
        <v>0</v>
      </c>
      <c r="S97" s="6">
        <f t="shared" si="89"/>
        <v>17.017600723311965</v>
      </c>
      <c r="T97" s="9">
        <f t="shared" si="90"/>
        <v>0</v>
      </c>
      <c r="U97" s="60">
        <f t="shared" si="91"/>
        <v>50.001305639595529</v>
      </c>
      <c r="V97" s="58">
        <f t="shared" si="92"/>
        <v>0</v>
      </c>
      <c r="W97" s="61">
        <f t="shared" si="93"/>
        <v>0</v>
      </c>
      <c r="X97" s="60">
        <f t="shared" si="94"/>
        <v>50.000995736405329</v>
      </c>
      <c r="Y97" s="58">
        <f t="shared" si="70"/>
        <v>0</v>
      </c>
      <c r="Z97" s="61">
        <f t="shared" si="71"/>
        <v>0</v>
      </c>
      <c r="AB97" s="25">
        <f t="shared" si="72"/>
        <v>140.00230242442709</v>
      </c>
      <c r="AC97" s="76">
        <f t="shared" si="80"/>
        <v>136.49753071099718</v>
      </c>
      <c r="AD97" s="33">
        <f t="shared" si="78"/>
        <v>99.999435033635834</v>
      </c>
      <c r="AE97" s="52">
        <f t="shared" si="95"/>
        <v>2.2393971165968196E-4</v>
      </c>
      <c r="AF97" s="53">
        <f t="shared" si="96"/>
        <v>4.4160753903336718E-3</v>
      </c>
      <c r="AG97" s="82">
        <f t="shared" si="97"/>
        <v>0</v>
      </c>
      <c r="AH97" s="6">
        <f t="shared" si="98"/>
        <v>25.956900398547528</v>
      </c>
      <c r="AI97" s="9">
        <f t="shared" si="73"/>
        <v>0</v>
      </c>
      <c r="AJ97" s="60">
        <f t="shared" si="99"/>
        <v>50.013872749409437</v>
      </c>
      <c r="AK97" s="58">
        <f t="shared" si="100"/>
        <v>0</v>
      </c>
      <c r="AL97" s="61">
        <f t="shared" si="101"/>
        <v>0</v>
      </c>
      <c r="AN97" s="166">
        <f t="shared" si="102"/>
        <v>1.3162762896492718E-2</v>
      </c>
      <c r="AO97" s="167">
        <f t="shared" si="103"/>
        <v>75.009416985538763</v>
      </c>
      <c r="AP97" s="299">
        <f t="shared" si="104"/>
        <v>0</v>
      </c>
      <c r="AQ97" s="168">
        <f t="shared" si="74"/>
        <v>0</v>
      </c>
      <c r="AR97" s="168">
        <f t="shared" si="105"/>
        <v>0</v>
      </c>
      <c r="AS97" s="169">
        <f t="shared" si="75"/>
        <v>0</v>
      </c>
      <c r="AT97" s="168">
        <f t="shared" si="106"/>
        <v>17.098851031332003</v>
      </c>
      <c r="AU97" s="170">
        <f t="shared" si="79"/>
        <v>0</v>
      </c>
    </row>
    <row r="98" spans="2:47" x14ac:dyDescent="0.2">
      <c r="B98" s="34">
        <f>IF(AND((G98-B$6)*(G97-B$6)&lt;=0,ISNUMBER(SWeRF!C99)),(F97+(B$6-G97)*(F98-F97)/(G98-G97)),0)</f>
        <v>0</v>
      </c>
      <c r="C98" s="34">
        <f>IF(AND((G98-C$6)*(G97-C$6)&lt;=0,ISNUMBER(SWeRF!C99)),(F97+(C$6-G97)*(F98-F97)/(G98-G97)),0)</f>
        <v>0</v>
      </c>
      <c r="D98" s="322">
        <f>IF(AND((G98-D$6)*(G97-D$6)&lt;=0,ISNUMBER(SWeRF!C99)),(F97+(D$6-G97)*(F98-F97)/(G98-G97)),0)</f>
        <v>0</v>
      </c>
      <c r="E98" s="34">
        <f>IF(AND((G98-E$6)*(G97-E$6)&lt;=0,ISNUMBER(SWeRF!C99)),(F97+(E$6-G97)*(F98-F97)/(G98-G97)),0)</f>
        <v>0</v>
      </c>
      <c r="F98" s="100">
        <f>IF(ISNUMBER(SWeRF!C99),SWeRF!C99,F97)</f>
        <v>90.473511616304265</v>
      </c>
      <c r="G98" s="32">
        <f>IF(ISNUMBER(SWeRF!D99),SWeRF!D99,G97)</f>
        <v>99.99959740571289</v>
      </c>
      <c r="H98" s="76">
        <f t="shared" si="76"/>
        <v>88.209801367349783</v>
      </c>
      <c r="I98" s="35">
        <f t="shared" si="81"/>
        <v>1.6237207705671608E-4</v>
      </c>
      <c r="J98" s="35">
        <f t="shared" si="82"/>
        <v>1.8407486984413154E-6</v>
      </c>
      <c r="K98" s="36">
        <f t="shared" si="83"/>
        <v>3.2036480902270081E-3</v>
      </c>
      <c r="L98" s="144"/>
      <c r="M98" s="25">
        <f t="shared" si="84"/>
        <v>189.77883901640982</v>
      </c>
      <c r="N98" s="33">
        <f t="shared" si="77"/>
        <v>185.03044033881599</v>
      </c>
      <c r="O98" s="33">
        <f t="shared" si="85"/>
        <v>99.99959740571289</v>
      </c>
      <c r="P98" s="52">
        <f t="shared" si="86"/>
        <v>1.6237207705671608E-4</v>
      </c>
      <c r="Q98" s="53">
        <f t="shared" si="87"/>
        <v>3.2036480902270042E-3</v>
      </c>
      <c r="R98" s="82">
        <f t="shared" si="88"/>
        <v>0</v>
      </c>
      <c r="S98" s="6">
        <f t="shared" si="89"/>
        <v>17.017600723311965</v>
      </c>
      <c r="T98" s="9">
        <f t="shared" si="90"/>
        <v>0</v>
      </c>
      <c r="U98" s="60">
        <f t="shared" si="91"/>
        <v>50.000754237377755</v>
      </c>
      <c r="V98" s="58">
        <f t="shared" si="92"/>
        <v>0</v>
      </c>
      <c r="W98" s="61">
        <f t="shared" si="93"/>
        <v>0</v>
      </c>
      <c r="X98" s="60">
        <f t="shared" si="94"/>
        <v>50.000567251757765</v>
      </c>
      <c r="Y98" s="58">
        <f t="shared" si="70"/>
        <v>0</v>
      </c>
      <c r="Z98" s="61">
        <f t="shared" si="71"/>
        <v>0</v>
      </c>
      <c r="AB98" s="25">
        <f t="shared" si="72"/>
        <v>147.28020643009597</v>
      </c>
      <c r="AC98" s="76">
        <f t="shared" si="80"/>
        <v>143.59515312766774</v>
      </c>
      <c r="AD98" s="33">
        <f t="shared" si="78"/>
        <v>99.99959740571289</v>
      </c>
      <c r="AE98" s="52">
        <f t="shared" si="95"/>
        <v>1.6237207705671608E-4</v>
      </c>
      <c r="AF98" s="53">
        <f t="shared" si="96"/>
        <v>3.2036480902270063E-3</v>
      </c>
      <c r="AG98" s="82">
        <f t="shared" si="97"/>
        <v>0</v>
      </c>
      <c r="AH98" s="6">
        <f t="shared" si="98"/>
        <v>25.956900398547528</v>
      </c>
      <c r="AI98" s="9">
        <f t="shared" si="73"/>
        <v>0</v>
      </c>
      <c r="AJ98" s="60">
        <f t="shared" si="99"/>
        <v>50.009061811970035</v>
      </c>
      <c r="AK98" s="58">
        <f t="shared" si="100"/>
        <v>0</v>
      </c>
      <c r="AL98" s="61">
        <f t="shared" si="101"/>
        <v>0</v>
      </c>
      <c r="AN98" s="166">
        <f t="shared" si="102"/>
        <v>1.4567231791596207E-2</v>
      </c>
      <c r="AO98" s="167">
        <f t="shared" si="103"/>
        <v>83.012933711051389</v>
      </c>
      <c r="AP98" s="299">
        <f t="shared" si="104"/>
        <v>0</v>
      </c>
      <c r="AQ98" s="168">
        <f t="shared" si="74"/>
        <v>0</v>
      </c>
      <c r="AR98" s="168">
        <f t="shared" si="105"/>
        <v>0</v>
      </c>
      <c r="AS98" s="169">
        <f t="shared" si="75"/>
        <v>0</v>
      </c>
      <c r="AT98" s="168">
        <f t="shared" si="106"/>
        <v>17.098851031332003</v>
      </c>
      <c r="AU98" s="170">
        <f t="shared" si="79"/>
        <v>0</v>
      </c>
    </row>
    <row r="99" spans="2:47" x14ac:dyDescent="0.2">
      <c r="B99" s="34">
        <f>IF(AND((G99-B$6)*(G98-B$6)&lt;=0,ISNUMBER(SWeRF!C100)),(F98+(B$6-G98)*(F99-F98)/(G99-G98)),0)</f>
        <v>0</v>
      </c>
      <c r="C99" s="34">
        <f>IF(AND((G99-C$6)*(G98-C$6)&lt;=0,ISNUMBER(SWeRF!C100)),(F98+(C$6-G98)*(F99-F98)/(G99-G98)),0)</f>
        <v>0</v>
      </c>
      <c r="D99" s="322">
        <f>IF(AND((G99-D$6)*(G98-D$6)&lt;=0,ISNUMBER(SWeRF!C100)),(F98+(D$6-G98)*(F99-F98)/(G99-G98)),0)</f>
        <v>0</v>
      </c>
      <c r="E99" s="34">
        <f>IF(AND((G99-E$6)*(G98-E$6)&lt;=0,ISNUMBER(SWeRF!C100)),(F98+(E$6-G98)*(F99-F98)/(G99-G98)),0)</f>
        <v>0</v>
      </c>
      <c r="F99" s="100">
        <f>IF(ISNUMBER(SWeRF!C100),SWeRF!C100,F98)</f>
        <v>95.174295427276121</v>
      </c>
      <c r="G99" s="32">
        <f>IF(ISNUMBER(SWeRF!D100),SWeRF!D100,G98)</f>
        <v>99.999714531965083</v>
      </c>
      <c r="H99" s="76">
        <f t="shared" si="76"/>
        <v>92.794141641125378</v>
      </c>
      <c r="I99" s="35">
        <f t="shared" si="81"/>
        <v>1.1712625219217898E-4</v>
      </c>
      <c r="J99" s="35">
        <f t="shared" si="82"/>
        <v>1.2622160205453086E-6</v>
      </c>
      <c r="K99" s="36">
        <f t="shared" si="83"/>
        <v>2.3120888925900656E-3</v>
      </c>
      <c r="L99" s="144"/>
      <c r="M99" s="25">
        <f t="shared" si="84"/>
        <v>199.63928632497439</v>
      </c>
      <c r="N99" s="33">
        <f t="shared" si="77"/>
        <v>194.64663362313323</v>
      </c>
      <c r="O99" s="33">
        <f t="shared" si="85"/>
        <v>99.999714531965083</v>
      </c>
      <c r="P99" s="52">
        <f t="shared" si="86"/>
        <v>1.1712625219217898E-4</v>
      </c>
      <c r="Q99" s="53">
        <f t="shared" si="87"/>
        <v>2.3120888925900664E-3</v>
      </c>
      <c r="R99" s="82">
        <f t="shared" si="88"/>
        <v>0</v>
      </c>
      <c r="S99" s="6">
        <f t="shared" si="89"/>
        <v>17.017600723311965</v>
      </c>
      <c r="T99" s="9">
        <f t="shared" si="90"/>
        <v>0</v>
      </c>
      <c r="U99" s="60">
        <f t="shared" si="91"/>
        <v>50.000423577097528</v>
      </c>
      <c r="V99" s="58">
        <f t="shared" si="92"/>
        <v>0</v>
      </c>
      <c r="W99" s="61">
        <f t="shared" si="93"/>
        <v>0</v>
      </c>
      <c r="X99" s="60">
        <f t="shared" si="94"/>
        <v>50.000313931994334</v>
      </c>
      <c r="Y99" s="58">
        <f t="shared" si="70"/>
        <v>0</v>
      </c>
      <c r="Z99" s="61">
        <f t="shared" si="71"/>
        <v>0</v>
      </c>
      <c r="AB99" s="25">
        <f t="shared" si="72"/>
        <v>154.93252806208204</v>
      </c>
      <c r="AC99" s="76">
        <f t="shared" si="80"/>
        <v>151.05791841449451</v>
      </c>
      <c r="AD99" s="33">
        <f t="shared" si="78"/>
        <v>99.999714531965083</v>
      </c>
      <c r="AE99" s="52">
        <f t="shared" si="95"/>
        <v>1.1712625219217898E-4</v>
      </c>
      <c r="AF99" s="53">
        <f t="shared" si="96"/>
        <v>2.3120888925900664E-3</v>
      </c>
      <c r="AG99" s="82">
        <f t="shared" si="97"/>
        <v>0</v>
      </c>
      <c r="AH99" s="6">
        <f t="shared" si="98"/>
        <v>25.956900398547528</v>
      </c>
      <c r="AI99" s="9">
        <f t="shared" si="73"/>
        <v>0</v>
      </c>
      <c r="AJ99" s="60">
        <f t="shared" si="99"/>
        <v>50.005790989525813</v>
      </c>
      <c r="AK99" s="58">
        <f t="shared" si="100"/>
        <v>0</v>
      </c>
      <c r="AL99" s="61">
        <f t="shared" si="101"/>
        <v>0</v>
      </c>
      <c r="AN99" s="166">
        <f t="shared" si="102"/>
        <v>1.6120720939976126E-2</v>
      </c>
      <c r="AO99" s="167">
        <f t="shared" si="103"/>
        <v>91.865658342624585</v>
      </c>
      <c r="AP99" s="299">
        <f t="shared" si="104"/>
        <v>0</v>
      </c>
      <c r="AQ99" s="168">
        <f t="shared" si="74"/>
        <v>0</v>
      </c>
      <c r="AR99" s="168">
        <f t="shared" si="105"/>
        <v>0</v>
      </c>
      <c r="AS99" s="169">
        <f t="shared" si="75"/>
        <v>0</v>
      </c>
      <c r="AT99" s="168">
        <f t="shared" si="106"/>
        <v>17.098851031332003</v>
      </c>
      <c r="AU99" s="170">
        <f t="shared" si="79"/>
        <v>0</v>
      </c>
    </row>
    <row r="100" spans="2:47" x14ac:dyDescent="0.2">
      <c r="B100" s="34">
        <f>IF(AND((G100-B$6)*(G99-B$6)&lt;=0,ISNUMBER(SWeRF!C101)),(F99+(B$6-G99)*(F100-F99)/(G100-G99)),0)</f>
        <v>0</v>
      </c>
      <c r="C100" s="34">
        <f>IF(AND((G100-C$6)*(G99-C$6)&lt;=0,ISNUMBER(SWeRF!C101)),(F99+(C$6-G99)*(F100-F99)/(G100-G99)),0)</f>
        <v>0</v>
      </c>
      <c r="D100" s="322">
        <f>IF(AND((G100-D$6)*(G99-D$6)&lt;=0,ISNUMBER(SWeRF!C101)),(F99+(D$6-G99)*(F100-F99)/(G100-G99)),0)</f>
        <v>0</v>
      </c>
      <c r="E100" s="34">
        <f>IF(AND((G100-E$6)*(G99-E$6)&lt;=0,ISNUMBER(SWeRF!C101)),(F99+(E$6-G99)*(F100-F99)/(G100-G99)),0)</f>
        <v>0</v>
      </c>
      <c r="F100" s="100">
        <f>IF(ISNUMBER(SWeRF!C101),SWeRF!C101,F99)</f>
        <v>100.11691484297211</v>
      </c>
      <c r="G100" s="32">
        <f>IF(ISNUMBER(SWeRF!D101),SWeRF!D101,G99)</f>
        <v>99.999798586105797</v>
      </c>
      <c r="H100" s="76">
        <f t="shared" si="76"/>
        <v>97.614326973720779</v>
      </c>
      <c r="I100" s="35">
        <f t="shared" si="81"/>
        <v>8.4054140714329151E-5</v>
      </c>
      <c r="J100" s="35">
        <f t="shared" si="82"/>
        <v>8.6108405723022364E-7</v>
      </c>
      <c r="K100" s="36">
        <f t="shared" si="83"/>
        <v>1.6600283544243521E-3</v>
      </c>
      <c r="L100" s="144"/>
      <c r="M100" s="25">
        <f t="shared" si="84"/>
        <v>210.00701227761346</v>
      </c>
      <c r="N100" s="33">
        <f t="shared" si="77"/>
        <v>204.7575396764253</v>
      </c>
      <c r="O100" s="33">
        <f t="shared" si="85"/>
        <v>99.999798586105797</v>
      </c>
      <c r="P100" s="52">
        <f t="shared" si="86"/>
        <v>8.4054140714329151E-5</v>
      </c>
      <c r="Q100" s="53">
        <f t="shared" si="87"/>
        <v>1.6600283544243534E-3</v>
      </c>
      <c r="R100" s="82">
        <f t="shared" si="88"/>
        <v>0</v>
      </c>
      <c r="S100" s="6">
        <f t="shared" si="89"/>
        <v>17.017600723311965</v>
      </c>
      <c r="T100" s="9">
        <f t="shared" si="90"/>
        <v>0</v>
      </c>
      <c r="U100" s="60">
        <f t="shared" si="91"/>
        <v>50.000230922275179</v>
      </c>
      <c r="V100" s="58">
        <f t="shared" si="92"/>
        <v>0</v>
      </c>
      <c r="W100" s="61">
        <f t="shared" si="93"/>
        <v>0</v>
      </c>
      <c r="X100" s="60">
        <f t="shared" si="94"/>
        <v>50.000168529840103</v>
      </c>
      <c r="Y100" s="58">
        <f t="shared" si="70"/>
        <v>0</v>
      </c>
      <c r="Z100" s="61">
        <f t="shared" si="71"/>
        <v>0</v>
      </c>
      <c r="AB100" s="25">
        <f t="shared" si="72"/>
        <v>162.97852953637346</v>
      </c>
      <c r="AC100" s="76">
        <f t="shared" si="80"/>
        <v>158.90461164142167</v>
      </c>
      <c r="AD100" s="33">
        <f t="shared" si="78"/>
        <v>99.999798586105797</v>
      </c>
      <c r="AE100" s="52">
        <f t="shared" si="95"/>
        <v>8.4054140714329151E-5</v>
      </c>
      <c r="AF100" s="53">
        <f t="shared" si="96"/>
        <v>1.6600283544243512E-3</v>
      </c>
      <c r="AG100" s="82">
        <f t="shared" si="97"/>
        <v>0</v>
      </c>
      <c r="AH100" s="6">
        <f t="shared" si="98"/>
        <v>25.956900398547528</v>
      </c>
      <c r="AI100" s="9">
        <f t="shared" si="73"/>
        <v>0</v>
      </c>
      <c r="AJ100" s="60">
        <f t="shared" si="99"/>
        <v>50.003616481478566</v>
      </c>
      <c r="AK100" s="58">
        <f t="shared" si="100"/>
        <v>0</v>
      </c>
      <c r="AL100" s="61">
        <f t="shared" si="101"/>
        <v>0</v>
      </c>
      <c r="AN100" s="166">
        <f t="shared" si="102"/>
        <v>1.7838998583360563E-2</v>
      </c>
      <c r="AO100" s="167">
        <f t="shared" si="103"/>
        <v>101.65744789798417</v>
      </c>
      <c r="AP100" s="299">
        <f t="shared" si="104"/>
        <v>0</v>
      </c>
      <c r="AQ100" s="168">
        <f t="shared" si="74"/>
        <v>0</v>
      </c>
      <c r="AR100" s="168">
        <f t="shared" si="105"/>
        <v>0</v>
      </c>
      <c r="AS100" s="169">
        <f t="shared" si="75"/>
        <v>0</v>
      </c>
      <c r="AT100" s="168">
        <f t="shared" si="106"/>
        <v>17.098851031332003</v>
      </c>
      <c r="AU100" s="170">
        <f t="shared" si="79"/>
        <v>0</v>
      </c>
    </row>
    <row r="101" spans="2:47" x14ac:dyDescent="0.2">
      <c r="B101" s="34">
        <f>IF(AND((G101-B$6)*(G100-B$6)&lt;=0,ISNUMBER(SWeRF!C102)),(F100+(B$6-G100)*(F101-F100)/(G101-G100)),0)</f>
        <v>0</v>
      </c>
      <c r="C101" s="34">
        <f>IF(AND((G101-C$6)*(G100-C$6)&lt;=0,ISNUMBER(SWeRF!C102)),(F100+(C$6-G100)*(F101-F100)/(G101-G100)),0)</f>
        <v>0</v>
      </c>
      <c r="D101" s="322">
        <f>IF(AND((G101-D$6)*(G100-D$6)&lt;=0,ISNUMBER(SWeRF!C102)),(F100+(D$6-G100)*(F101-F100)/(G101-G100)),0)</f>
        <v>0</v>
      </c>
      <c r="E101" s="34">
        <f>IF(AND((G101-E$6)*(G100-E$6)&lt;=0,ISNUMBER(SWeRF!C102)),(F100+(E$6-G100)*(F101-F100)/(G101-G100)),0)</f>
        <v>0</v>
      </c>
      <c r="F101" s="100">
        <f>IF(ISNUMBER(SWeRF!C102),SWeRF!C102,F100)</f>
        <v>105.31381129062308</v>
      </c>
      <c r="G101" s="32">
        <f>IF(ISNUMBER(SWeRF!D102),SWeRF!D102,G100)</f>
        <v>99.999858596326064</v>
      </c>
      <c r="H101" s="76">
        <f t="shared" si="76"/>
        <v>102.6824906046408</v>
      </c>
      <c r="I101" s="35">
        <f t="shared" si="81"/>
        <v>6.0010220266804026E-5</v>
      </c>
      <c r="J101" s="35">
        <f t="shared" si="82"/>
        <v>5.8442505546405029E-7</v>
      </c>
      <c r="K101" s="36">
        <f t="shared" si="83"/>
        <v>1.1857074584416226E-3</v>
      </c>
      <c r="L101" s="144"/>
      <c r="M101" s="25">
        <f t="shared" si="84"/>
        <v>220.90811423225421</v>
      </c>
      <c r="N101" s="33">
        <f t="shared" si="77"/>
        <v>215.38860939659148</v>
      </c>
      <c r="O101" s="33">
        <f t="shared" si="85"/>
        <v>99.999858596326064</v>
      </c>
      <c r="P101" s="52">
        <f t="shared" si="86"/>
        <v>6.0010220266804026E-5</v>
      </c>
      <c r="Q101" s="53">
        <f t="shared" si="87"/>
        <v>1.1857074584416209E-3</v>
      </c>
      <c r="R101" s="82">
        <f t="shared" si="88"/>
        <v>0</v>
      </c>
      <c r="S101" s="6">
        <f t="shared" si="89"/>
        <v>17.017600723311965</v>
      </c>
      <c r="T101" s="9">
        <f t="shared" si="90"/>
        <v>0</v>
      </c>
      <c r="U101" s="60">
        <f t="shared" si="91"/>
        <v>50.00012202390883</v>
      </c>
      <c r="V101" s="58">
        <f t="shared" si="92"/>
        <v>0</v>
      </c>
      <c r="W101" s="61">
        <f t="shared" si="93"/>
        <v>0</v>
      </c>
      <c r="X101" s="60">
        <f t="shared" si="94"/>
        <v>50.00008762327942</v>
      </c>
      <c r="Y101" s="58">
        <f t="shared" si="70"/>
        <v>0</v>
      </c>
      <c r="Z101" s="61">
        <f t="shared" si="71"/>
        <v>0</v>
      </c>
      <c r="AB101" s="25">
        <f t="shared" si="72"/>
        <v>171.43846402915528</v>
      </c>
      <c r="AC101" s="76">
        <f t="shared" si="80"/>
        <v>167.15498429136412</v>
      </c>
      <c r="AD101" s="33">
        <f t="shared" si="78"/>
        <v>99.999858596326064</v>
      </c>
      <c r="AE101" s="52">
        <f t="shared" si="95"/>
        <v>6.0010220266804026E-5</v>
      </c>
      <c r="AF101" s="53">
        <f t="shared" si="96"/>
        <v>1.1857074584416191E-3</v>
      </c>
      <c r="AG101" s="82">
        <f t="shared" si="97"/>
        <v>0</v>
      </c>
      <c r="AH101" s="6">
        <f t="shared" si="98"/>
        <v>25.956900398547528</v>
      </c>
      <c r="AI101" s="9">
        <f t="shared" si="73"/>
        <v>0</v>
      </c>
      <c r="AJ101" s="60">
        <f t="shared" si="99"/>
        <v>50.002204452606215</v>
      </c>
      <c r="AK101" s="58">
        <f t="shared" si="100"/>
        <v>0</v>
      </c>
      <c r="AL101" s="61">
        <f t="shared" si="101"/>
        <v>0</v>
      </c>
      <c r="AN101" s="166">
        <f t="shared" si="102"/>
        <v>1.9739499220745589E-2</v>
      </c>
      <c r="AO101" s="167">
        <f t="shared" si="103"/>
        <v>112.48765474071931</v>
      </c>
      <c r="AP101" s="299">
        <f t="shared" si="104"/>
        <v>0</v>
      </c>
      <c r="AQ101" s="168">
        <f t="shared" si="74"/>
        <v>0</v>
      </c>
      <c r="AR101" s="168">
        <f t="shared" si="105"/>
        <v>0</v>
      </c>
      <c r="AS101" s="169">
        <f t="shared" si="75"/>
        <v>0</v>
      </c>
      <c r="AT101" s="168">
        <f t="shared" si="106"/>
        <v>17.098851031332003</v>
      </c>
      <c r="AU101" s="170">
        <f t="shared" si="79"/>
        <v>0</v>
      </c>
    </row>
    <row r="102" spans="2:47" x14ac:dyDescent="0.2">
      <c r="B102" s="34">
        <f>IF(AND((G102-B$6)*(G101-B$6)&lt;=0,ISNUMBER(SWeRF!C103)),(F101+(B$6-G101)*(F102-F101)/(G102-G101)),0)</f>
        <v>0</v>
      </c>
      <c r="C102" s="34">
        <f>IF(AND((G102-C$6)*(G101-C$6)&lt;=0,ISNUMBER(SWeRF!C103)),(F101+(C$6-G101)*(F102-F101)/(G102-G101)),0)</f>
        <v>0</v>
      </c>
      <c r="D102" s="322">
        <f>IF(AND((G102-D$6)*(G101-D$6)&lt;=0,ISNUMBER(SWeRF!C103)),(F101+(D$6-G101)*(F102-F101)/(G102-G101)),0)</f>
        <v>0</v>
      </c>
      <c r="E102" s="34">
        <f>IF(AND((G102-E$6)*(G101-E$6)&lt;=0,ISNUMBER(SWeRF!C103)),(F101+(E$6-G101)*(F102-F101)/(G102-G101)),0)</f>
        <v>0</v>
      </c>
      <c r="F102" s="100">
        <f>IF(ISNUMBER(SWeRF!C103),SWeRF!C103,F101)</f>
        <v>110.77806625669237</v>
      </c>
      <c r="G102" s="32">
        <f>IF(ISNUMBER(SWeRF!D103),SWeRF!D103,G101)</f>
        <v>99.999901220093406</v>
      </c>
      <c r="H102" s="76">
        <f t="shared" si="76"/>
        <v>108.01138997761967</v>
      </c>
      <c r="I102" s="35">
        <f t="shared" si="81"/>
        <v>4.2623767342320207E-5</v>
      </c>
      <c r="J102" s="35">
        <f t="shared" si="82"/>
        <v>3.9462289441096904E-7</v>
      </c>
      <c r="K102" s="36">
        <f t="shared" si="83"/>
        <v>8.4253981289574714E-4</v>
      </c>
      <c r="L102" s="144"/>
      <c r="M102" s="25">
        <f t="shared" si="84"/>
        <v>232.37003214639654</v>
      </c>
      <c r="N102" s="33">
        <f t="shared" si="77"/>
        <v>226.56660302336869</v>
      </c>
      <c r="O102" s="33">
        <f t="shared" si="85"/>
        <v>99.999901220093406</v>
      </c>
      <c r="P102" s="52">
        <f t="shared" si="86"/>
        <v>4.2623767342320207E-5</v>
      </c>
      <c r="Q102" s="53">
        <f t="shared" si="87"/>
        <v>8.4253981289574671E-4</v>
      </c>
      <c r="R102" s="82">
        <f t="shared" si="88"/>
        <v>0</v>
      </c>
      <c r="S102" s="6">
        <f t="shared" si="89"/>
        <v>17.017600723311965</v>
      </c>
      <c r="T102" s="9">
        <f t="shared" si="90"/>
        <v>0</v>
      </c>
      <c r="U102" s="60">
        <f t="shared" si="91"/>
        <v>50.00006239825948</v>
      </c>
      <c r="V102" s="58">
        <f t="shared" si="92"/>
        <v>0</v>
      </c>
      <c r="W102" s="61">
        <f t="shared" si="93"/>
        <v>0</v>
      </c>
      <c r="X102" s="60">
        <f t="shared" si="94"/>
        <v>50.000044050276735</v>
      </c>
      <c r="Y102" s="58">
        <f t="shared" si="70"/>
        <v>0</v>
      </c>
      <c r="Z102" s="61">
        <f t="shared" si="71"/>
        <v>0</v>
      </c>
      <c r="AB102" s="25">
        <f t="shared" si="72"/>
        <v>180.33362665755416</v>
      </c>
      <c r="AC102" s="76">
        <f t="shared" si="80"/>
        <v>175.82980397810326</v>
      </c>
      <c r="AD102" s="33">
        <f t="shared" si="78"/>
        <v>99.999901220093406</v>
      </c>
      <c r="AE102" s="52">
        <f t="shared" si="95"/>
        <v>4.2623767342320207E-5</v>
      </c>
      <c r="AF102" s="53">
        <f t="shared" si="96"/>
        <v>8.4253981289574801E-4</v>
      </c>
      <c r="AG102" s="82">
        <f t="shared" si="97"/>
        <v>0</v>
      </c>
      <c r="AH102" s="6">
        <f t="shared" si="98"/>
        <v>25.956900398547528</v>
      </c>
      <c r="AI102" s="9">
        <f t="shared" si="73"/>
        <v>0</v>
      </c>
      <c r="AJ102" s="60">
        <f t="shared" si="99"/>
        <v>50.001309951411052</v>
      </c>
      <c r="AK102" s="58">
        <f t="shared" si="100"/>
        <v>0</v>
      </c>
      <c r="AL102" s="61">
        <f t="shared" si="101"/>
        <v>0</v>
      </c>
      <c r="AN102" s="166">
        <f t="shared" si="102"/>
        <v>2.1841499570571132E-2</v>
      </c>
      <c r="AO102" s="167">
        <f t="shared" si="103"/>
        <v>124.46612931962586</v>
      </c>
      <c r="AP102" s="299">
        <f t="shared" si="104"/>
        <v>0</v>
      </c>
      <c r="AQ102" s="168">
        <f t="shared" si="74"/>
        <v>0</v>
      </c>
      <c r="AR102" s="168">
        <f t="shared" si="105"/>
        <v>0</v>
      </c>
      <c r="AS102" s="169">
        <f t="shared" si="75"/>
        <v>0</v>
      </c>
      <c r="AT102" s="168">
        <f t="shared" si="106"/>
        <v>17.098851031332003</v>
      </c>
      <c r="AU102" s="170">
        <f t="shared" si="79"/>
        <v>0</v>
      </c>
    </row>
    <row r="103" spans="2:47" x14ac:dyDescent="0.2">
      <c r="B103" s="34">
        <f>IF(AND((G103-B$6)*(G102-B$6)&lt;=0,ISNUMBER(SWeRF!C104)),(F102+(B$6-G102)*(F103-F102)/(G103-G102)),0)</f>
        <v>0</v>
      </c>
      <c r="C103" s="34">
        <f>IF(AND((G103-C$6)*(G102-C$6)&lt;=0,ISNUMBER(SWeRF!C104)),(F102+(C$6-G102)*(F103-F102)/(G103-G102)),0)</f>
        <v>0</v>
      </c>
      <c r="D103" s="322">
        <f>IF(AND((G103-D$6)*(G102-D$6)&lt;=0,ISNUMBER(SWeRF!C104)),(F102+(D$6-G102)*(F103-F102)/(G103-G102)),0)</f>
        <v>0</v>
      </c>
      <c r="E103" s="34">
        <f>IF(AND((G103-E$6)*(G102-E$6)&lt;=0,ISNUMBER(SWeRF!C104)),(F102+(E$6-G102)*(F103-F102)/(G103-G102)),0)</f>
        <v>0</v>
      </c>
      <c r="F103" s="100">
        <f>IF(ISNUMBER(SWeRF!C104),SWeRF!C104,F102)</f>
        <v>116.5234342152379</v>
      </c>
      <c r="G103" s="32">
        <f>IF(ISNUMBER(SWeRF!D104),SWeRF!D104,G102)</f>
        <v>99.999931338930395</v>
      </c>
      <c r="H103" s="76">
        <f t="shared" si="76"/>
        <v>113.61443885331195</v>
      </c>
      <c r="I103" s="35">
        <f t="shared" si="81"/>
        <v>3.0118836988890507E-5</v>
      </c>
      <c r="J103" s="35">
        <f t="shared" si="82"/>
        <v>2.6509691279448253E-7</v>
      </c>
      <c r="K103" s="36">
        <f t="shared" si="83"/>
        <v>5.9559888732930728E-4</v>
      </c>
      <c r="L103" s="144"/>
      <c r="M103" s="25">
        <f t="shared" si="84"/>
        <v>244.42161764822819</v>
      </c>
      <c r="N103" s="33">
        <f t="shared" si="77"/>
        <v>238.31965749848047</v>
      </c>
      <c r="O103" s="33">
        <f t="shared" si="85"/>
        <v>99.999931338930395</v>
      </c>
      <c r="P103" s="52">
        <f t="shared" si="86"/>
        <v>3.0118836988890507E-5</v>
      </c>
      <c r="Q103" s="53">
        <f t="shared" si="87"/>
        <v>5.9559888732930782E-4</v>
      </c>
      <c r="R103" s="82">
        <f t="shared" si="88"/>
        <v>0</v>
      </c>
      <c r="S103" s="6">
        <f t="shared" si="89"/>
        <v>17.017600723311965</v>
      </c>
      <c r="T103" s="9">
        <f t="shared" si="90"/>
        <v>0</v>
      </c>
      <c r="U103" s="60">
        <f t="shared" si="91"/>
        <v>50.000030825865096</v>
      </c>
      <c r="V103" s="58">
        <f t="shared" si="92"/>
        <v>0</v>
      </c>
      <c r="W103" s="61">
        <f t="shared" si="93"/>
        <v>0</v>
      </c>
      <c r="X103" s="60">
        <f t="shared" si="94"/>
        <v>50.000021375309721</v>
      </c>
      <c r="Y103" s="58">
        <f t="shared" si="70"/>
        <v>0</v>
      </c>
      <c r="Z103" s="61">
        <f t="shared" si="71"/>
        <v>0</v>
      </c>
      <c r="AB103" s="25">
        <f t="shared" si="72"/>
        <v>189.68640808312838</v>
      </c>
      <c r="AC103" s="76">
        <f t="shared" si="80"/>
        <v>184.95090672196054</v>
      </c>
      <c r="AD103" s="33">
        <f t="shared" si="78"/>
        <v>99.999931338930395</v>
      </c>
      <c r="AE103" s="52">
        <f t="shared" si="95"/>
        <v>3.0118836988890507E-5</v>
      </c>
      <c r="AF103" s="53">
        <f t="shared" si="96"/>
        <v>5.9559888732930771E-4</v>
      </c>
      <c r="AG103" s="82">
        <f t="shared" si="97"/>
        <v>0</v>
      </c>
      <c r="AH103" s="6">
        <f t="shared" si="98"/>
        <v>25.956900398547528</v>
      </c>
      <c r="AI103" s="9">
        <f t="shared" si="73"/>
        <v>0</v>
      </c>
      <c r="AJ103" s="60">
        <f t="shared" si="99"/>
        <v>50.000757845212831</v>
      </c>
      <c r="AK103" s="58">
        <f t="shared" si="100"/>
        <v>0</v>
      </c>
      <c r="AL103" s="61">
        <f t="shared" si="101"/>
        <v>0</v>
      </c>
      <c r="AN103" s="166">
        <f t="shared" si="102"/>
        <v>2.4166313109211329E-2</v>
      </c>
      <c r="AO103" s="167">
        <f t="shared" si="103"/>
        <v>137.71432876717145</v>
      </c>
      <c r="AP103" s="299">
        <f t="shared" si="104"/>
        <v>0</v>
      </c>
      <c r="AQ103" s="168">
        <f t="shared" si="74"/>
        <v>0</v>
      </c>
      <c r="AR103" s="168">
        <f t="shared" si="105"/>
        <v>0</v>
      </c>
      <c r="AS103" s="169">
        <f t="shared" si="75"/>
        <v>0</v>
      </c>
      <c r="AT103" s="168">
        <f t="shared" si="106"/>
        <v>17.098851031332003</v>
      </c>
      <c r="AU103" s="170">
        <f t="shared" si="79"/>
        <v>0</v>
      </c>
    </row>
    <row r="104" spans="2:47" x14ac:dyDescent="0.2">
      <c r="B104" s="34">
        <f>IF(AND((G104-B$6)*(G103-B$6)&lt;=0,ISNUMBER(SWeRF!C105)),(F103+(B$6-G103)*(F104-F103)/(G104-G103)),0)</f>
        <v>0</v>
      </c>
      <c r="C104" s="34">
        <f>IF(AND((G104-C$6)*(G103-C$6)&lt;=0,ISNUMBER(SWeRF!C105)),(F103+(C$6-G103)*(F104-F103)/(G104-G103)),0)</f>
        <v>0</v>
      </c>
      <c r="D104" s="322">
        <f>IF(AND((G104-D$6)*(G103-D$6)&lt;=0,ISNUMBER(SWeRF!C105)),(F103+(D$6-G103)*(F104-F103)/(G104-G103)),0)</f>
        <v>0</v>
      </c>
      <c r="E104" s="34">
        <f>IF(AND((G104-E$6)*(G103-E$6)&lt;=0,ISNUMBER(SWeRF!C105)),(F103+(E$6-G103)*(F104-F103)/(G104-G103)),0)</f>
        <v>0</v>
      </c>
      <c r="F104" s="100">
        <f>IF(ISNUMBER(SWeRF!C105),SWeRF!C105,F103)</f>
        <v>122.56437725030034</v>
      </c>
      <c r="G104" s="32">
        <f>IF(ISNUMBER(SWeRF!D105),SWeRF!D105,G103)</f>
        <v>99.999952511986933</v>
      </c>
      <c r="H104" s="76">
        <f t="shared" si="76"/>
        <v>119.5057410740462</v>
      </c>
      <c r="I104" s="35">
        <f t="shared" si="81"/>
        <v>2.1173056538259516E-5</v>
      </c>
      <c r="J104" s="35">
        <f t="shared" si="82"/>
        <v>1.7717187766854322E-7</v>
      </c>
      <c r="K104" s="36">
        <f t="shared" si="83"/>
        <v>4.1885874402740981E-4</v>
      </c>
      <c r="L104" s="144"/>
      <c r="M104" s="25">
        <f t="shared" si="84"/>
        <v>257.09320666115889</v>
      </c>
      <c r="N104" s="33">
        <f t="shared" si="77"/>
        <v>250.67735729118155</v>
      </c>
      <c r="O104" s="33">
        <f t="shared" si="85"/>
        <v>99.999952511986933</v>
      </c>
      <c r="P104" s="52">
        <f t="shared" si="86"/>
        <v>2.1173056538259516E-5</v>
      </c>
      <c r="Q104" s="53">
        <f t="shared" si="87"/>
        <v>4.1885874402740916E-4</v>
      </c>
      <c r="R104" s="82">
        <f t="shared" si="88"/>
        <v>0</v>
      </c>
      <c r="S104" s="6">
        <f t="shared" si="89"/>
        <v>17.017600723311965</v>
      </c>
      <c r="T104" s="9">
        <f t="shared" si="90"/>
        <v>0</v>
      </c>
      <c r="U104" s="60">
        <f t="shared" si="91"/>
        <v>50.000014685962803</v>
      </c>
      <c r="V104" s="58">
        <f t="shared" si="92"/>
        <v>0</v>
      </c>
      <c r="W104" s="61">
        <f t="shared" si="93"/>
        <v>0</v>
      </c>
      <c r="X104" s="60">
        <f t="shared" si="94"/>
        <v>50.000009993562777</v>
      </c>
      <c r="Y104" s="58">
        <f t="shared" si="70"/>
        <v>0</v>
      </c>
      <c r="Z104" s="61">
        <f t="shared" si="71"/>
        <v>0</v>
      </c>
      <c r="AB104" s="25">
        <f t="shared" si="72"/>
        <v>199.52035087303233</v>
      </c>
      <c r="AC104" s="76">
        <f t="shared" si="80"/>
        <v>194.54125191483419</v>
      </c>
      <c r="AD104" s="33">
        <f t="shared" si="78"/>
        <v>99.999952511986933</v>
      </c>
      <c r="AE104" s="52">
        <f t="shared" si="95"/>
        <v>2.1173056538259516E-5</v>
      </c>
      <c r="AF104" s="53">
        <f t="shared" si="96"/>
        <v>4.1885874402741014E-4</v>
      </c>
      <c r="AG104" s="82">
        <f t="shared" si="97"/>
        <v>0</v>
      </c>
      <c r="AH104" s="6">
        <f t="shared" si="98"/>
        <v>25.956900398547528</v>
      </c>
      <c r="AI104" s="9">
        <f t="shared" si="73"/>
        <v>0</v>
      </c>
      <c r="AJ104" s="60">
        <f t="shared" si="99"/>
        <v>50.000426263819207</v>
      </c>
      <c r="AK104" s="58">
        <f t="shared" si="100"/>
        <v>0</v>
      </c>
      <c r="AL104" s="61">
        <f t="shared" si="101"/>
        <v>0</v>
      </c>
      <c r="AN104" s="166">
        <f t="shared" si="102"/>
        <v>2.6737505146577856E-2</v>
      </c>
      <c r="AO104" s="167">
        <f t="shared" si="103"/>
        <v>152.36654253090279</v>
      </c>
      <c r="AP104" s="299">
        <f t="shared" si="104"/>
        <v>0</v>
      </c>
      <c r="AQ104" s="168">
        <f t="shared" si="74"/>
        <v>0</v>
      </c>
      <c r="AR104" s="168">
        <f t="shared" si="105"/>
        <v>0</v>
      </c>
      <c r="AS104" s="169">
        <f t="shared" si="75"/>
        <v>0</v>
      </c>
      <c r="AT104" s="168">
        <f t="shared" si="106"/>
        <v>17.098851031332003</v>
      </c>
      <c r="AU104" s="170">
        <f t="shared" si="79"/>
        <v>0</v>
      </c>
    </row>
    <row r="105" spans="2:47" x14ac:dyDescent="0.2">
      <c r="B105" s="34">
        <f>IF(AND((G105-B$6)*(G104-B$6)&lt;=0,ISNUMBER(SWeRF!C106)),(F104+(B$6-G104)*(F105-F104)/(G105-G104)),0)</f>
        <v>0</v>
      </c>
      <c r="C105" s="34">
        <f>IF(AND((G105-C$6)*(G104-C$6)&lt;=0,ISNUMBER(SWeRF!C106)),(F104+(C$6-G104)*(F105-F104)/(G105-G104)),0)</f>
        <v>0</v>
      </c>
      <c r="D105" s="322">
        <f>IF(AND((G105-D$6)*(G104-D$6)&lt;=0,ISNUMBER(SWeRF!C106)),(F104+(D$6-G104)*(F105-F104)/(G105-G104)),0)</f>
        <v>0</v>
      </c>
      <c r="E105" s="34">
        <f>IF(AND((G105-E$6)*(G104-E$6)&lt;=0,ISNUMBER(SWeRF!C106)),(F104+(E$6-G104)*(F105-F104)/(G105-G104)),0)</f>
        <v>0</v>
      </c>
      <c r="F105" s="100">
        <f>IF(ISNUMBER(SWeRF!C106),SWeRF!C106,F104)</f>
        <v>128.91610145946791</v>
      </c>
      <c r="G105" s="32">
        <f>IF(ISNUMBER(SWeRF!D106),SWeRF!D106,G104)</f>
        <v>99.999967319671185</v>
      </c>
      <c r="H105" s="76">
        <f t="shared" si="76"/>
        <v>125.70012606563375</v>
      </c>
      <c r="I105" s="35">
        <f t="shared" si="81"/>
        <v>1.4807684252104991E-5</v>
      </c>
      <c r="J105" s="35">
        <f t="shared" si="82"/>
        <v>1.1780166588196758E-7</v>
      </c>
      <c r="K105" s="36">
        <f t="shared" si="83"/>
        <v>2.9304291495263685E-4</v>
      </c>
      <c r="L105" s="144"/>
      <c r="M105" s="25">
        <f t="shared" si="84"/>
        <v>270.4166957645819</v>
      </c>
      <c r="N105" s="33">
        <f t="shared" si="77"/>
        <v>263.67080886748039</v>
      </c>
      <c r="O105" s="33">
        <f t="shared" si="85"/>
        <v>99.999967319671185</v>
      </c>
      <c r="P105" s="52">
        <f t="shared" si="86"/>
        <v>1.4807684252104991E-5</v>
      </c>
      <c r="Q105" s="53">
        <f t="shared" si="87"/>
        <v>2.9304291495263685E-4</v>
      </c>
      <c r="R105" s="82">
        <f t="shared" si="88"/>
        <v>0</v>
      </c>
      <c r="S105" s="6">
        <f t="shared" si="89"/>
        <v>17.017600723311965</v>
      </c>
      <c r="T105" s="9">
        <f t="shared" si="90"/>
        <v>0</v>
      </c>
      <c r="U105" s="60">
        <f t="shared" si="91"/>
        <v>50.000006734779248</v>
      </c>
      <c r="V105" s="58">
        <f t="shared" si="92"/>
        <v>0</v>
      </c>
      <c r="W105" s="61">
        <f t="shared" si="93"/>
        <v>0</v>
      </c>
      <c r="X105" s="60">
        <f t="shared" si="94"/>
        <v>50.000004493050263</v>
      </c>
      <c r="Y105" s="58">
        <f t="shared" ref="Y105:Y110" si="107">1-LOGNORMDIST(M105,LN(M),LN(S))</f>
        <v>0</v>
      </c>
      <c r="Z105" s="61">
        <f t="shared" ref="Z105:Z110" si="108">Y105*X105</f>
        <v>0</v>
      </c>
      <c r="AB105" s="25">
        <f t="shared" ref="AB105:AB110" si="109">F105*SQRT(AC$3/1000)</f>
        <v>209.86020876072655</v>
      </c>
      <c r="AC105" s="76">
        <f t="shared" si="80"/>
        <v>204.62498011295682</v>
      </c>
      <c r="AD105" s="33">
        <f t="shared" si="78"/>
        <v>99.999967319671185</v>
      </c>
      <c r="AE105" s="52">
        <f t="shared" si="95"/>
        <v>1.4807684252104991E-5</v>
      </c>
      <c r="AF105" s="53">
        <f t="shared" si="96"/>
        <v>2.9304291495263669E-4</v>
      </c>
      <c r="AG105" s="82">
        <f t="shared" si="97"/>
        <v>0</v>
      </c>
      <c r="AH105" s="6">
        <f t="shared" si="98"/>
        <v>25.956900398547528</v>
      </c>
      <c r="AI105" s="9">
        <f t="shared" ref="AI105:AI110" si="110">IF(F105=F104,0,AG105/(F105-F104)*H105)</f>
        <v>0</v>
      </c>
      <c r="AJ105" s="60">
        <f t="shared" si="99"/>
        <v>50.000232766255934</v>
      </c>
      <c r="AK105" s="58">
        <f t="shared" si="100"/>
        <v>0</v>
      </c>
      <c r="AL105" s="61">
        <f t="shared" si="101"/>
        <v>0</v>
      </c>
      <c r="AN105" s="166">
        <f t="shared" si="102"/>
        <v>2.9581130606589373E-2</v>
      </c>
      <c r="AO105" s="167">
        <f t="shared" si="103"/>
        <v>168.57124739096929</v>
      </c>
      <c r="AP105" s="299">
        <f t="shared" si="104"/>
        <v>0</v>
      </c>
      <c r="AQ105" s="168">
        <f t="shared" ref="AQ105:AQ110" si="111">I105*AP105*h/HH</f>
        <v>0</v>
      </c>
      <c r="AR105" s="168">
        <f t="shared" si="105"/>
        <v>0</v>
      </c>
      <c r="AS105" s="169">
        <f t="shared" ref="AS105:AS110" si="112">I105*AP105</f>
        <v>0</v>
      </c>
      <c r="AT105" s="168">
        <f t="shared" si="106"/>
        <v>17.098851031332003</v>
      </c>
      <c r="AU105" s="170">
        <f t="shared" si="79"/>
        <v>0</v>
      </c>
    </row>
    <row r="106" spans="2:47" x14ac:dyDescent="0.2">
      <c r="B106" s="34">
        <f>IF(AND((G106-B$6)*(G105-B$6)&lt;=0,ISNUMBER(SWeRF!C107)),(F105+(B$6-G105)*(F106-F105)/(G106-G105)),0)</f>
        <v>0</v>
      </c>
      <c r="C106" s="34">
        <f>IF(AND((G106-C$6)*(G105-C$6)&lt;=0,ISNUMBER(SWeRF!C107)),(F105+(C$6-G105)*(F106-F105)/(G106-G105)),0)</f>
        <v>0</v>
      </c>
      <c r="D106" s="322">
        <f>IF(AND((G106-D$6)*(G105-D$6)&lt;=0,ISNUMBER(SWeRF!C107)),(F105+(D$6-G105)*(F106-F105)/(G106-G105)),0)</f>
        <v>0</v>
      </c>
      <c r="E106" s="34">
        <f>IF(AND((G106-E$6)*(G105-E$6)&lt;=0,ISNUMBER(SWeRF!C107)),(F105+(E$6-G105)*(F106-F105)/(G106-G105)),0)</f>
        <v>0</v>
      </c>
      <c r="F106" s="100">
        <f>IF(ISNUMBER(SWeRF!C107),SWeRF!C107,F105)</f>
        <v>135.59459523025203</v>
      </c>
      <c r="G106" s="32">
        <f>IF(ISNUMBER(SWeRF!D107),SWeRF!D107,G105)</f>
        <v>99.999977622303277</v>
      </c>
      <c r="H106" s="76">
        <f t="shared" si="76"/>
        <v>132.2131861655964</v>
      </c>
      <c r="I106" s="35">
        <f t="shared" si="81"/>
        <v>1.0302632091452324E-5</v>
      </c>
      <c r="J106" s="35">
        <f t="shared" si="82"/>
        <v>7.7924391584878122E-8</v>
      </c>
      <c r="K106" s="36">
        <f t="shared" si="83"/>
        <v>2.0395973425350758E-4</v>
      </c>
      <c r="L106" s="144"/>
      <c r="M106" s="25">
        <f t="shared" si="84"/>
        <v>284.42562248307712</v>
      </c>
      <c r="N106" s="33">
        <f t="shared" si="77"/>
        <v>277.33271899048998</v>
      </c>
      <c r="O106" s="33">
        <f t="shared" si="85"/>
        <v>99.999977622303277</v>
      </c>
      <c r="P106" s="52">
        <f t="shared" si="86"/>
        <v>1.0302632091452324E-5</v>
      </c>
      <c r="Q106" s="53">
        <f t="shared" si="87"/>
        <v>2.0395973425350793E-4</v>
      </c>
      <c r="R106" s="82">
        <f t="shared" si="88"/>
        <v>0</v>
      </c>
      <c r="S106" s="6">
        <f t="shared" si="89"/>
        <v>17.017600723311965</v>
      </c>
      <c r="T106" s="9">
        <f t="shared" si="90"/>
        <v>0</v>
      </c>
      <c r="U106" s="60">
        <f t="shared" si="91"/>
        <v>50.000002967056624</v>
      </c>
      <c r="V106" s="58">
        <f t="shared" si="92"/>
        <v>0</v>
      </c>
      <c r="W106" s="61">
        <f t="shared" si="93"/>
        <v>0</v>
      </c>
      <c r="X106" s="60">
        <f t="shared" si="94"/>
        <v>50.000001938658457</v>
      </c>
      <c r="Y106" s="58">
        <f t="shared" si="107"/>
        <v>0</v>
      </c>
      <c r="Z106" s="61">
        <f t="shared" si="108"/>
        <v>0</v>
      </c>
      <c r="AB106" s="25">
        <f t="shared" si="109"/>
        <v>220.73200895540296</v>
      </c>
      <c r="AC106" s="76">
        <f t="shared" si="80"/>
        <v>215.22747380284756</v>
      </c>
      <c r="AD106" s="33">
        <f t="shared" si="78"/>
        <v>99.999977622303277</v>
      </c>
      <c r="AE106" s="52">
        <f t="shared" si="95"/>
        <v>1.0302632091452324E-5</v>
      </c>
      <c r="AF106" s="53">
        <f t="shared" si="96"/>
        <v>2.0395973425350747E-4</v>
      </c>
      <c r="AG106" s="82">
        <f t="shared" si="97"/>
        <v>0</v>
      </c>
      <c r="AH106" s="6">
        <f t="shared" si="98"/>
        <v>25.956900398547528</v>
      </c>
      <c r="AI106" s="9">
        <f t="shared" si="110"/>
        <v>0</v>
      </c>
      <c r="AJ106" s="60">
        <f t="shared" si="99"/>
        <v>50.000123209373925</v>
      </c>
      <c r="AK106" s="58">
        <f t="shared" si="100"/>
        <v>0</v>
      </c>
      <c r="AL106" s="61">
        <f t="shared" si="101"/>
        <v>0</v>
      </c>
      <c r="AN106" s="166">
        <f t="shared" si="102"/>
        <v>3.2725996909056011E-2</v>
      </c>
      <c r="AO106" s="167">
        <f t="shared" si="103"/>
        <v>186.4926055207541</v>
      </c>
      <c r="AP106" s="299">
        <f t="shared" si="104"/>
        <v>0</v>
      </c>
      <c r="AQ106" s="168">
        <f t="shared" si="111"/>
        <v>0</v>
      </c>
      <c r="AR106" s="168">
        <f t="shared" si="105"/>
        <v>0</v>
      </c>
      <c r="AS106" s="169">
        <f t="shared" si="112"/>
        <v>0</v>
      </c>
      <c r="AT106" s="168">
        <f t="shared" si="106"/>
        <v>17.098851031332003</v>
      </c>
      <c r="AU106" s="170">
        <f t="shared" si="79"/>
        <v>0</v>
      </c>
    </row>
    <row r="107" spans="2:47" x14ac:dyDescent="0.2">
      <c r="B107" s="34">
        <f>IF(AND((G107-B$6)*(G106-B$6)&lt;=0,ISNUMBER(SWeRF!C108)),(F106+(B$6-G106)*(F107-F106)/(G107-G106)),0)</f>
        <v>0</v>
      </c>
      <c r="C107" s="34">
        <f>IF(AND((G107-C$6)*(G106-C$6)&lt;=0,ISNUMBER(SWeRF!C108)),(F106+(C$6-G106)*(F107-F106)/(G107-G106)),0)</f>
        <v>0</v>
      </c>
      <c r="D107" s="322">
        <f>IF(AND((G107-D$6)*(G106-D$6)&lt;=0,ISNUMBER(SWeRF!C108)),(F106+(D$6-G106)*(F107-F106)/(G107-G106)),0)</f>
        <v>0</v>
      </c>
      <c r="E107" s="34">
        <f>IF(AND((G107-E$6)*(G106-E$6)&lt;=0,ISNUMBER(SWeRF!C108)),(F106+(E$6-G106)*(F107-F106)/(G107-G106)),0)</f>
        <v>0</v>
      </c>
      <c r="F107" s="100">
        <f>IF(ISNUMBER(SWeRF!C108),SWeRF!C108,F106)</f>
        <v>142.6166694856212</v>
      </c>
      <c r="G107" s="32">
        <f>IF(ISNUMBER(SWeRF!D108),SWeRF!D108,G106)</f>
        <v>99.999984753557641</v>
      </c>
      <c r="H107" s="76">
        <f t="shared" si="76"/>
        <v>139.0613158717745</v>
      </c>
      <c r="I107" s="35">
        <f t="shared" si="81"/>
        <v>7.131254363912376E-6</v>
      </c>
      <c r="J107" s="35">
        <f t="shared" si="82"/>
        <v>5.1281366922257194E-8</v>
      </c>
      <c r="K107" s="36">
        <f t="shared" si="83"/>
        <v>1.4122345899485975E-4</v>
      </c>
      <c r="L107" s="144"/>
      <c r="M107" s="25">
        <f t="shared" si="84"/>
        <v>299.15524970615519</v>
      </c>
      <c r="N107" s="33">
        <f t="shared" si="77"/>
        <v>291.69747704900288</v>
      </c>
      <c r="O107" s="33">
        <f t="shared" si="85"/>
        <v>99.999984753557641</v>
      </c>
      <c r="P107" s="52">
        <f t="shared" si="86"/>
        <v>7.131254363912376E-6</v>
      </c>
      <c r="Q107" s="53">
        <f t="shared" si="87"/>
        <v>1.4122345899485951E-4</v>
      </c>
      <c r="R107" s="82">
        <f t="shared" si="88"/>
        <v>0</v>
      </c>
      <c r="S107" s="6">
        <f t="shared" si="89"/>
        <v>17.017600723311965</v>
      </c>
      <c r="T107" s="9">
        <f t="shared" si="90"/>
        <v>0</v>
      </c>
      <c r="U107" s="60">
        <f t="shared" si="91"/>
        <v>50.000001253180784</v>
      </c>
      <c r="V107" s="58">
        <f t="shared" si="92"/>
        <v>0</v>
      </c>
      <c r="W107" s="61">
        <f t="shared" si="93"/>
        <v>0</v>
      </c>
      <c r="X107" s="60">
        <f t="shared" si="94"/>
        <v>50.000000801090451</v>
      </c>
      <c r="Y107" s="58">
        <f t="shared" si="107"/>
        <v>0</v>
      </c>
      <c r="Z107" s="61">
        <f t="shared" si="108"/>
        <v>0</v>
      </c>
      <c r="AB107" s="25">
        <f t="shared" si="109"/>
        <v>232.16311765696747</v>
      </c>
      <c r="AC107" s="76">
        <f t="shared" si="80"/>
        <v>226.37542129341696</v>
      </c>
      <c r="AD107" s="33">
        <f t="shared" si="78"/>
        <v>99.999984753557641</v>
      </c>
      <c r="AE107" s="52">
        <f t="shared" si="95"/>
        <v>7.131254363912376E-6</v>
      </c>
      <c r="AF107" s="53">
        <f t="shared" si="96"/>
        <v>1.4122345899485991E-4</v>
      </c>
      <c r="AG107" s="82">
        <f t="shared" si="97"/>
        <v>0</v>
      </c>
      <c r="AH107" s="6">
        <f t="shared" si="98"/>
        <v>25.956900398547528</v>
      </c>
      <c r="AI107" s="9">
        <f t="shared" si="110"/>
        <v>0</v>
      </c>
      <c r="AJ107" s="60">
        <f t="shared" si="99"/>
        <v>50.000063118144887</v>
      </c>
      <c r="AK107" s="58">
        <f t="shared" si="100"/>
        <v>0</v>
      </c>
      <c r="AL107" s="61">
        <f t="shared" si="101"/>
        <v>0</v>
      </c>
      <c r="AN107" s="166">
        <f t="shared" si="102"/>
        <v>3.6203954602472402E-2</v>
      </c>
      <c r="AO107" s="167">
        <f t="shared" si="103"/>
        <v>206.31212068903577</v>
      </c>
      <c r="AP107" s="299">
        <f t="shared" si="104"/>
        <v>0</v>
      </c>
      <c r="AQ107" s="168">
        <f t="shared" si="111"/>
        <v>0</v>
      </c>
      <c r="AR107" s="168">
        <f t="shared" si="105"/>
        <v>0</v>
      </c>
      <c r="AS107" s="169">
        <f t="shared" si="112"/>
        <v>0</v>
      </c>
      <c r="AT107" s="168">
        <f t="shared" si="106"/>
        <v>17.098851031332003</v>
      </c>
      <c r="AU107" s="170">
        <f t="shared" si="79"/>
        <v>0</v>
      </c>
    </row>
    <row r="108" spans="2:47" x14ac:dyDescent="0.2">
      <c r="B108" s="34">
        <f>IF(AND((G108-B$6)*(G107-B$6)&lt;=0,ISNUMBER(SWeRF!C109)),(F107+(B$6-G107)*(F108-F107)/(G108-G107)),0)</f>
        <v>0</v>
      </c>
      <c r="C108" s="34">
        <f>IF(AND((G108-C$6)*(G107-C$6)&lt;=0,ISNUMBER(SWeRF!C109)),(F107+(C$6-G107)*(F108-F107)/(G108-G107)),0)</f>
        <v>0</v>
      </c>
      <c r="D108" s="322">
        <f>IF(AND((G108-D$6)*(G107-D$6)&lt;=0,ISNUMBER(SWeRF!C109)),(F107+(D$6-G107)*(F108-F107)/(G108-G107)),0)</f>
        <v>0</v>
      </c>
      <c r="E108" s="34">
        <f>IF(AND((G108-E$6)*(G107-E$6)&lt;=0,ISNUMBER(SWeRF!C109)),(F107+(E$6-G107)*(F108-F107)/(G108-G107)),0)</f>
        <v>0</v>
      </c>
      <c r="F108" s="100">
        <f>IF(ISNUMBER(SWeRF!C109),SWeRF!C109,F107)</f>
        <v>150.00000000000003</v>
      </c>
      <c r="G108" s="32">
        <f>IF(ISNUMBER(SWeRF!D109),SWeRF!D109,G107)</f>
        <v>99.999989664214397</v>
      </c>
      <c r="H108" s="76">
        <f t="shared" si="76"/>
        <v>146.26175311011141</v>
      </c>
      <c r="I108" s="35">
        <f t="shared" si="81"/>
        <v>4.9106567558965253E-6</v>
      </c>
      <c r="J108" s="35">
        <f t="shared" si="82"/>
        <v>3.3574442063466831E-8</v>
      </c>
      <c r="K108" s="36">
        <f t="shared" si="83"/>
        <v>9.7278763918354151E-5</v>
      </c>
      <c r="L108" s="144"/>
      <c r="M108" s="25">
        <f t="shared" si="84"/>
        <v>314.64265445104553</v>
      </c>
      <c r="N108" s="33">
        <f t="shared" si="77"/>
        <v>306.80124162152612</v>
      </c>
      <c r="O108" s="33">
        <f t="shared" si="85"/>
        <v>99.999989664214397</v>
      </c>
      <c r="P108" s="52">
        <f t="shared" si="86"/>
        <v>4.9106567558965253E-6</v>
      </c>
      <c r="Q108" s="53">
        <f t="shared" si="87"/>
        <v>9.7278763918354409E-5</v>
      </c>
      <c r="R108" s="82">
        <f t="shared" si="88"/>
        <v>0</v>
      </c>
      <c r="S108" s="6">
        <f t="shared" si="89"/>
        <v>17.017600723311965</v>
      </c>
      <c r="T108" s="9">
        <f t="shared" si="90"/>
        <v>0</v>
      </c>
      <c r="U108" s="60">
        <f t="shared" si="91"/>
        <v>50.000000506343021</v>
      </c>
      <c r="V108" s="58">
        <f t="shared" si="92"/>
        <v>0</v>
      </c>
      <c r="W108" s="61">
        <f t="shared" si="93"/>
        <v>0</v>
      </c>
      <c r="X108" s="60">
        <f t="shared" si="94"/>
        <v>50.000000316312168</v>
      </c>
      <c r="Y108" s="58">
        <f t="shared" si="107"/>
        <v>0</v>
      </c>
      <c r="Z108" s="61">
        <f t="shared" si="108"/>
        <v>0</v>
      </c>
      <c r="AB108" s="25">
        <f t="shared" si="109"/>
        <v>244.18230894149562</v>
      </c>
      <c r="AC108" s="76">
        <f t="shared" si="80"/>
        <v>238.09688389505317</v>
      </c>
      <c r="AD108" s="33">
        <f t="shared" si="78"/>
        <v>99.999989664214397</v>
      </c>
      <c r="AE108" s="52">
        <f t="shared" si="95"/>
        <v>4.9106567558965253E-6</v>
      </c>
      <c r="AF108" s="53">
        <f t="shared" si="96"/>
        <v>9.7278763918354151E-5</v>
      </c>
      <c r="AG108" s="82">
        <f t="shared" si="97"/>
        <v>0</v>
      </c>
      <c r="AH108" s="6">
        <f t="shared" si="98"/>
        <v>25.956900398547528</v>
      </c>
      <c r="AI108" s="9">
        <f t="shared" si="110"/>
        <v>0</v>
      </c>
      <c r="AJ108" s="60">
        <f t="shared" si="99"/>
        <v>50.000031240662445</v>
      </c>
      <c r="AK108" s="58">
        <f t="shared" si="100"/>
        <v>0</v>
      </c>
      <c r="AL108" s="61">
        <f t="shared" si="101"/>
        <v>0</v>
      </c>
      <c r="AN108" s="166">
        <f t="shared" si="102"/>
        <v>4.0050218676852274E-2</v>
      </c>
      <c r="AO108" s="167">
        <f t="shared" si="103"/>
        <v>228.2304692956593</v>
      </c>
      <c r="AP108" s="299">
        <f t="shared" si="104"/>
        <v>0</v>
      </c>
      <c r="AQ108" s="168">
        <f t="shared" si="111"/>
        <v>0</v>
      </c>
      <c r="AR108" s="168">
        <f t="shared" si="105"/>
        <v>0</v>
      </c>
      <c r="AS108" s="169">
        <f t="shared" si="112"/>
        <v>0</v>
      </c>
      <c r="AT108" s="168">
        <f t="shared" si="106"/>
        <v>17.098851031332003</v>
      </c>
      <c r="AU108" s="170">
        <f t="shared" si="79"/>
        <v>0</v>
      </c>
    </row>
    <row r="109" spans="2:47" x14ac:dyDescent="0.2">
      <c r="B109" s="34">
        <f>IF(AND((G109-B$6)*(G108-B$6)&lt;=0,ISNUMBER(SWeRF!#REF!)),(F108+(B$6-G108)*(F109-F108)/(G109-G108)),0)</f>
        <v>0</v>
      </c>
      <c r="C109" s="34">
        <f>IF(AND((G109-C$6)*(G108-C$6)&lt;=0,ISNUMBER(SWeRF!#REF!)),(F108+(C$6-G108)*(F109-F108)/(G109-G108)),0)</f>
        <v>0</v>
      </c>
      <c r="D109" s="322">
        <f>IF(AND((G109-D$6)*(G108-D$6)&lt;=0,ISNUMBER(SWeRF!#REF!)),(F108+(D$6-G108)*(F109-F108)/(G109-G108)),0)</f>
        <v>0</v>
      </c>
      <c r="E109" s="34">
        <f>IF(AND((G109-E$6)*(G108-E$6)&lt;=0,ISNUMBER(SWeRF!#REF!)),(F108+(E$6-G108)*(F109-F108)/(G109-G108)),0)</f>
        <v>0</v>
      </c>
      <c r="F109" s="100">
        <f>IF(ISNUMBER(SWeRF!#REF!),SWeRF!#REF!,F108)</f>
        <v>150.00000000000003</v>
      </c>
      <c r="G109" s="32">
        <f>IF(ISNUMBER(SWeRF!#REF!),SWeRF!#REF!,G108)</f>
        <v>99.999989664214397</v>
      </c>
      <c r="H109" s="76">
        <f t="shared" si="76"/>
        <v>150.00000000000003</v>
      </c>
      <c r="I109" s="35">
        <f t="shared" si="81"/>
        <v>0</v>
      </c>
      <c r="J109" s="35">
        <f t="shared" si="82"/>
        <v>0</v>
      </c>
      <c r="K109" s="36">
        <f t="shared" si="83"/>
        <v>0</v>
      </c>
      <c r="L109" s="144"/>
      <c r="M109" s="25">
        <f t="shared" si="84"/>
        <v>314.64265445104553</v>
      </c>
      <c r="N109" s="33">
        <f t="shared" si="77"/>
        <v>314.64265445104553</v>
      </c>
      <c r="O109" s="33">
        <f t="shared" si="85"/>
        <v>99.999989664214397</v>
      </c>
      <c r="P109" s="52">
        <f t="shared" si="86"/>
        <v>0</v>
      </c>
      <c r="Q109" s="53">
        <f t="shared" si="87"/>
        <v>0</v>
      </c>
      <c r="R109" s="82">
        <f t="shared" si="88"/>
        <v>0</v>
      </c>
      <c r="S109" s="6">
        <f t="shared" si="89"/>
        <v>17.017600723311965</v>
      </c>
      <c r="T109" s="9">
        <f t="shared" si="90"/>
        <v>0</v>
      </c>
      <c r="U109" s="60">
        <f t="shared" si="91"/>
        <v>50.000000316312168</v>
      </c>
      <c r="V109" s="58">
        <f t="shared" si="92"/>
        <v>0</v>
      </c>
      <c r="W109" s="61">
        <f t="shared" si="93"/>
        <v>0</v>
      </c>
      <c r="X109" s="60">
        <f t="shared" si="94"/>
        <v>50.000000316312168</v>
      </c>
      <c r="Y109" s="58">
        <f t="shared" si="107"/>
        <v>0</v>
      </c>
      <c r="Z109" s="61">
        <f t="shared" si="108"/>
        <v>0</v>
      </c>
      <c r="AB109" s="25">
        <f t="shared" si="109"/>
        <v>244.18230894149562</v>
      </c>
      <c r="AC109" s="76">
        <f t="shared" si="80"/>
        <v>244.18230894149562</v>
      </c>
      <c r="AD109" s="33">
        <f t="shared" si="78"/>
        <v>99.999989664214397</v>
      </c>
      <c r="AE109" s="52">
        <f t="shared" si="95"/>
        <v>0</v>
      </c>
      <c r="AF109" s="53">
        <f t="shared" si="96"/>
        <v>0</v>
      </c>
      <c r="AG109" s="82">
        <f t="shared" si="97"/>
        <v>0</v>
      </c>
      <c r="AH109" s="6">
        <f t="shared" si="98"/>
        <v>25.956900398547528</v>
      </c>
      <c r="AI109" s="9">
        <f t="shared" si="110"/>
        <v>0</v>
      </c>
      <c r="AJ109" s="60">
        <f t="shared" si="99"/>
        <v>50.000021684441606</v>
      </c>
      <c r="AK109" s="58">
        <f t="shared" si="100"/>
        <v>0</v>
      </c>
      <c r="AL109" s="61">
        <f t="shared" si="101"/>
        <v>0</v>
      </c>
      <c r="AN109" s="166">
        <f t="shared" si="102"/>
        <v>4.2123636901600273E-2</v>
      </c>
      <c r="AO109" s="167">
        <f t="shared" si="103"/>
        <v>240.04606556739483</v>
      </c>
      <c r="AP109" s="299">
        <f t="shared" si="104"/>
        <v>0</v>
      </c>
      <c r="AQ109" s="168">
        <f t="shared" si="111"/>
        <v>0</v>
      </c>
      <c r="AR109" s="168">
        <f t="shared" si="105"/>
        <v>0</v>
      </c>
      <c r="AS109" s="169">
        <f t="shared" si="112"/>
        <v>0</v>
      </c>
      <c r="AT109" s="168">
        <f t="shared" si="106"/>
        <v>17.098851031332003</v>
      </c>
      <c r="AU109" s="170">
        <f t="shared" si="79"/>
        <v>0</v>
      </c>
    </row>
    <row r="110" spans="2:47" ht="13.5" thickBot="1" x14ac:dyDescent="0.25">
      <c r="B110" s="34">
        <f>IF(AND((G110-B$6)*(G109-B$6)&lt;=0,ISNUMBER(SWeRF!C110)),(F109+(B$6-G109)*(F110-F109)/(G110-G109)),0)</f>
        <v>0</v>
      </c>
      <c r="C110" s="34">
        <f>IF(AND((G110-C$6)*(G109-C$6)&lt;=0,ISNUMBER(SWeRF!C110)),(F109+(C$6-G109)*(F110-F109)/(G110-G109)),0)</f>
        <v>0</v>
      </c>
      <c r="D110" s="322">
        <f>IF(AND((G110-D$6)*(G109-D$6)&lt;=0,ISNUMBER(SWeRF!C110)),(F109+(D$6-G109)*(F110-F109)/(G110-G109)),0)</f>
        <v>0</v>
      </c>
      <c r="E110" s="34">
        <f>IF(AND((G110-E$6)*(G109-E$6)&lt;=0,ISNUMBER(SWeRF!C110)),(F109+(E$6-G109)*(F110-F109)/(G110-G109)),0)</f>
        <v>0</v>
      </c>
      <c r="F110" s="101">
        <f>IF(ISNUMBER(SWeRF!C110),SWeRF!C110,F109)</f>
        <v>150.00000000000003</v>
      </c>
      <c r="G110" s="102">
        <f>IF(ISNUMBER(SWeRF!D110),SWeRF!D110,G109)</f>
        <v>99.999989664214397</v>
      </c>
      <c r="H110" s="76">
        <f t="shared" si="76"/>
        <v>150.00000000000003</v>
      </c>
      <c r="I110" s="103">
        <f t="shared" si="81"/>
        <v>0</v>
      </c>
      <c r="J110" s="103">
        <f t="shared" si="82"/>
        <v>0</v>
      </c>
      <c r="K110" s="104">
        <f t="shared" si="83"/>
        <v>0</v>
      </c>
      <c r="L110" s="144"/>
      <c r="M110" s="105">
        <f t="shared" si="84"/>
        <v>314.64265445104553</v>
      </c>
      <c r="N110" s="33">
        <f t="shared" si="77"/>
        <v>314.64265445104553</v>
      </c>
      <c r="O110" s="106">
        <f t="shared" si="85"/>
        <v>99.999989664214397</v>
      </c>
      <c r="P110" s="107">
        <f t="shared" si="86"/>
        <v>0</v>
      </c>
      <c r="Q110" s="108">
        <f t="shared" si="87"/>
        <v>0</v>
      </c>
      <c r="R110" s="232">
        <f t="shared" si="88"/>
        <v>0</v>
      </c>
      <c r="S110" s="83">
        <f t="shared" si="89"/>
        <v>17.017600723311965</v>
      </c>
      <c r="T110" s="84">
        <f t="shared" si="90"/>
        <v>0</v>
      </c>
      <c r="U110" s="85">
        <f t="shared" si="91"/>
        <v>50.000000316312168</v>
      </c>
      <c r="V110" s="86">
        <f t="shared" si="92"/>
        <v>0</v>
      </c>
      <c r="W110" s="87">
        <f t="shared" si="93"/>
        <v>0</v>
      </c>
      <c r="X110" s="85">
        <f t="shared" si="94"/>
        <v>50.000000316312168</v>
      </c>
      <c r="Y110" s="86">
        <f t="shared" si="107"/>
        <v>0</v>
      </c>
      <c r="Z110" s="87">
        <f t="shared" si="108"/>
        <v>0</v>
      </c>
      <c r="AB110" s="105">
        <f t="shared" si="109"/>
        <v>244.18230894149562</v>
      </c>
      <c r="AC110" s="76">
        <f t="shared" si="80"/>
        <v>244.18230894149562</v>
      </c>
      <c r="AD110" s="33">
        <f t="shared" si="78"/>
        <v>99.999989664214397</v>
      </c>
      <c r="AE110" s="107">
        <f t="shared" si="95"/>
        <v>0</v>
      </c>
      <c r="AF110" s="108">
        <f t="shared" si="96"/>
        <v>0</v>
      </c>
      <c r="AG110" s="232">
        <f t="shared" si="97"/>
        <v>0</v>
      </c>
      <c r="AH110" s="83">
        <f t="shared" si="98"/>
        <v>25.956900398547528</v>
      </c>
      <c r="AI110" s="84">
        <f t="shared" si="110"/>
        <v>0</v>
      </c>
      <c r="AJ110" s="85">
        <f t="shared" si="99"/>
        <v>50.000021684441606</v>
      </c>
      <c r="AK110" s="86">
        <f t="shared" si="100"/>
        <v>0</v>
      </c>
      <c r="AL110" s="87">
        <f t="shared" si="101"/>
        <v>0</v>
      </c>
      <c r="AN110" s="176">
        <f t="shared" si="102"/>
        <v>4.2123636901600273E-2</v>
      </c>
      <c r="AO110" s="177">
        <f t="shared" si="103"/>
        <v>240.04606556739483</v>
      </c>
      <c r="AP110" s="300">
        <f t="shared" si="104"/>
        <v>0</v>
      </c>
      <c r="AQ110" s="178">
        <f t="shared" si="111"/>
        <v>0</v>
      </c>
      <c r="AR110" s="178">
        <f t="shared" si="105"/>
        <v>0</v>
      </c>
      <c r="AS110" s="179">
        <f t="shared" si="112"/>
        <v>0</v>
      </c>
      <c r="AT110" s="178">
        <f t="shared" si="106"/>
        <v>17.098851031332003</v>
      </c>
      <c r="AU110" s="180">
        <f t="shared" si="79"/>
        <v>0</v>
      </c>
    </row>
    <row r="111" spans="2:47" ht="16.5" thickBot="1" x14ac:dyDescent="0.3">
      <c r="B111" s="289">
        <f>MAX(B9:B110)</f>
        <v>4.1006065711557627</v>
      </c>
      <c r="C111" s="320">
        <f>MAX(C9:C110)</f>
        <v>1.6863058445524293</v>
      </c>
      <c r="D111" s="289">
        <f>MAX(D9:D110)</f>
        <v>4.1006065711557627</v>
      </c>
      <c r="E111" s="289">
        <f>MAX(E9:E110)</f>
        <v>9.9775369587776108</v>
      </c>
      <c r="F111" s="91"/>
      <c r="G111" s="91"/>
      <c r="H111" s="91"/>
      <c r="I111" s="233">
        <f>SUM(I9:I110)</f>
        <v>99.999989664214397</v>
      </c>
      <c r="J111" s="233">
        <f>6*SUM(J9:J110)/100</f>
        <v>1.861879990003682</v>
      </c>
      <c r="K111" s="89"/>
      <c r="L111" s="89"/>
      <c r="M111" s="90"/>
      <c r="N111" s="51"/>
      <c r="O111" s="51"/>
      <c r="P111" s="142">
        <f>SUM(P9:P110)</f>
        <v>99.999989664214397</v>
      </c>
      <c r="Q111" s="88"/>
      <c r="R111" s="231">
        <f>SUM(R9:R110)</f>
        <v>17.017600723311965</v>
      </c>
      <c r="S111" s="78"/>
      <c r="T111" s="78"/>
      <c r="U111" s="1"/>
      <c r="V111" s="1"/>
      <c r="W111" s="1"/>
      <c r="AB111" s="90"/>
      <c r="AC111" s="51"/>
      <c r="AD111" s="51"/>
      <c r="AE111" s="142">
        <f>SUM(AE9:AE110)</f>
        <v>99.999989664214397</v>
      </c>
      <c r="AF111" s="88"/>
      <c r="AG111" s="231">
        <f>SUM(AG9:AG110)</f>
        <v>25.956900398547528</v>
      </c>
      <c r="AH111" s="78"/>
      <c r="AI111" s="78"/>
      <c r="AJ111" s="1"/>
      <c r="AK111" s="1"/>
      <c r="AL111" s="1"/>
      <c r="AN111" s="171"/>
      <c r="AO111" s="172"/>
      <c r="AP111" s="168"/>
      <c r="AQ111" s="175">
        <f>SUM(AQ9:AQ110)</f>
        <v>7.7722050142418189</v>
      </c>
      <c r="AS111" s="175">
        <f>SUM(AS9:AS110)</f>
        <v>17.098851031332003</v>
      </c>
      <c r="AT111" s="168"/>
      <c r="AU111" s="174"/>
    </row>
    <row r="112" spans="2:47" x14ac:dyDescent="0.2">
      <c r="L112" s="1"/>
      <c r="S112" s="1"/>
      <c r="T112" s="1"/>
      <c r="AN112" s="171"/>
      <c r="AO112" s="172"/>
      <c r="AP112" s="168"/>
      <c r="AQ112" s="168"/>
      <c r="AR112" s="168"/>
      <c r="AS112" s="173"/>
      <c r="AT112" s="168"/>
      <c r="AU112" s="174"/>
    </row>
    <row r="113" spans="12:47" x14ac:dyDescent="0.2">
      <c r="L113" s="1"/>
      <c r="AN113" s="171"/>
      <c r="AO113" s="172"/>
      <c r="AP113" s="168"/>
      <c r="AQ113" s="168"/>
      <c r="AR113" s="168"/>
      <c r="AS113" s="173"/>
      <c r="AT113" s="168"/>
      <c r="AU113" s="174"/>
    </row>
    <row r="114" spans="12:47" x14ac:dyDescent="0.2">
      <c r="AN114" s="171"/>
      <c r="AO114" s="172"/>
      <c r="AP114" s="168"/>
      <c r="AQ114" s="168"/>
      <c r="AR114" s="168"/>
      <c r="AS114" s="173"/>
      <c r="AT114" s="168"/>
      <c r="AU114" s="174"/>
    </row>
    <row r="115" spans="12:47" x14ac:dyDescent="0.2">
      <c r="AN115" s="171"/>
      <c r="AO115" s="172"/>
      <c r="AP115" s="168"/>
      <c r="AQ115" s="168"/>
      <c r="AR115" s="168"/>
      <c r="AS115" s="173"/>
      <c r="AT115" s="168"/>
      <c r="AU115" s="174"/>
    </row>
    <row r="116" spans="12:47" x14ac:dyDescent="0.2">
      <c r="AN116" s="171"/>
      <c r="AO116" s="172"/>
      <c r="AP116" s="168"/>
      <c r="AQ116" s="168"/>
      <c r="AR116" s="168"/>
      <c r="AS116" s="173"/>
      <c r="AT116" s="168"/>
      <c r="AU116" s="174"/>
    </row>
    <row r="117" spans="12:47" x14ac:dyDescent="0.2">
      <c r="AN117" s="171"/>
      <c r="AO117" s="172"/>
      <c r="AP117" s="168"/>
      <c r="AQ117" s="168"/>
      <c r="AR117" s="168"/>
      <c r="AS117" s="173"/>
      <c r="AT117" s="168"/>
      <c r="AU117" s="174"/>
    </row>
    <row r="118" spans="12:47" x14ac:dyDescent="0.2">
      <c r="AN118" s="171"/>
      <c r="AO118" s="172"/>
      <c r="AP118" s="168"/>
      <c r="AQ118" s="168"/>
      <c r="AR118" s="168"/>
      <c r="AS118" s="173"/>
      <c r="AT118" s="168"/>
      <c r="AU118" s="174"/>
    </row>
    <row r="119" spans="12:47" x14ac:dyDescent="0.2">
      <c r="AN119" s="171"/>
      <c r="AO119" s="172"/>
      <c r="AP119" s="168"/>
      <c r="AQ119" s="168"/>
      <c r="AR119" s="168"/>
      <c r="AS119" s="173"/>
      <c r="AT119" s="168"/>
      <c r="AU119" s="174"/>
    </row>
    <row r="120" spans="12:47" x14ac:dyDescent="0.2">
      <c r="AN120" s="171"/>
      <c r="AO120" s="172"/>
      <c r="AP120" s="168"/>
      <c r="AQ120" s="168"/>
      <c r="AR120" s="168"/>
      <c r="AS120" s="173"/>
      <c r="AT120" s="168"/>
      <c r="AU120" s="174"/>
    </row>
    <row r="121" spans="12:47" x14ac:dyDescent="0.2">
      <c r="AN121" s="171"/>
      <c r="AO121" s="172"/>
      <c r="AP121" s="168"/>
      <c r="AQ121" s="168"/>
      <c r="AR121" s="168"/>
      <c r="AS121" s="173"/>
      <c r="AT121" s="168"/>
      <c r="AU121" s="174"/>
    </row>
    <row r="122" spans="12:47" x14ac:dyDescent="0.2">
      <c r="AN122" s="171"/>
      <c r="AO122" s="172"/>
      <c r="AP122" s="168"/>
      <c r="AQ122" s="168"/>
      <c r="AR122" s="168"/>
      <c r="AS122" s="173"/>
      <c r="AT122" s="168"/>
      <c r="AU122" s="174"/>
    </row>
    <row r="123" spans="12:47" x14ac:dyDescent="0.2">
      <c r="AN123" s="171"/>
      <c r="AO123" s="172"/>
      <c r="AP123" s="168"/>
      <c r="AQ123" s="168"/>
      <c r="AR123" s="168"/>
      <c r="AS123" s="173"/>
      <c r="AT123" s="168"/>
      <c r="AU123" s="174"/>
    </row>
    <row r="124" spans="12:47" x14ac:dyDescent="0.2">
      <c r="AN124" s="171"/>
      <c r="AO124" s="172"/>
      <c r="AP124" s="168"/>
      <c r="AQ124" s="168"/>
      <c r="AR124" s="168"/>
      <c r="AS124" s="173"/>
      <c r="AT124" s="168"/>
      <c r="AU124" s="174"/>
    </row>
    <row r="125" spans="12:47" x14ac:dyDescent="0.2">
      <c r="AN125" s="171"/>
      <c r="AO125" s="172"/>
      <c r="AP125" s="168"/>
      <c r="AQ125" s="168"/>
      <c r="AR125" s="168"/>
      <c r="AS125" s="173"/>
      <c r="AT125" s="168"/>
      <c r="AU125" s="174"/>
    </row>
    <row r="126" spans="12:47" x14ac:dyDescent="0.2">
      <c r="AN126" s="171"/>
      <c r="AO126" s="172"/>
      <c r="AP126" s="168"/>
      <c r="AQ126" s="168"/>
      <c r="AR126" s="168"/>
      <c r="AS126" s="173"/>
      <c r="AT126" s="168"/>
      <c r="AU126" s="174"/>
    </row>
    <row r="127" spans="12:47" x14ac:dyDescent="0.2">
      <c r="AN127" s="171"/>
      <c r="AO127" s="172"/>
      <c r="AP127" s="168"/>
      <c r="AQ127" s="168"/>
      <c r="AR127" s="168"/>
      <c r="AS127" s="173"/>
      <c r="AT127" s="168"/>
      <c r="AU127" s="174"/>
    </row>
    <row r="128" spans="12:47" x14ac:dyDescent="0.2">
      <c r="AN128" s="171"/>
      <c r="AO128" s="172"/>
      <c r="AP128" s="168"/>
      <c r="AQ128" s="168"/>
      <c r="AR128" s="168"/>
      <c r="AS128" s="173"/>
      <c r="AT128" s="168"/>
      <c r="AU128" s="174"/>
    </row>
    <row r="129" spans="40:47" x14ac:dyDescent="0.2">
      <c r="AN129" s="171"/>
      <c r="AO129" s="172"/>
      <c r="AP129" s="168"/>
      <c r="AQ129" s="168"/>
      <c r="AR129" s="168"/>
      <c r="AS129" s="173"/>
      <c r="AT129" s="168"/>
      <c r="AU129" s="174"/>
    </row>
    <row r="130" spans="40:47" x14ac:dyDescent="0.2">
      <c r="AN130" s="171"/>
      <c r="AO130" s="172"/>
      <c r="AP130" s="168"/>
      <c r="AQ130" s="168"/>
      <c r="AR130" s="168"/>
      <c r="AS130" s="173"/>
      <c r="AT130" s="168"/>
      <c r="AU130" s="174"/>
    </row>
    <row r="131" spans="40:47" x14ac:dyDescent="0.2">
      <c r="AN131" s="171"/>
      <c r="AO131" s="172"/>
      <c r="AP131" s="168"/>
      <c r="AQ131" s="168"/>
      <c r="AR131" s="168"/>
      <c r="AS131" s="173"/>
      <c r="AT131" s="168"/>
      <c r="AU131" s="174"/>
    </row>
    <row r="132" spans="40:47" x14ac:dyDescent="0.2">
      <c r="AN132" s="171"/>
      <c r="AO132" s="172"/>
      <c r="AP132" s="168"/>
      <c r="AQ132" s="168"/>
      <c r="AR132" s="168"/>
      <c r="AS132" s="173"/>
      <c r="AT132" s="168"/>
      <c r="AU132" s="174"/>
    </row>
    <row r="133" spans="40:47" x14ac:dyDescent="0.2">
      <c r="AN133" s="171"/>
      <c r="AO133" s="172"/>
      <c r="AP133" s="168"/>
      <c r="AQ133" s="168"/>
      <c r="AR133" s="168"/>
      <c r="AS133" s="173"/>
      <c r="AT133" s="168"/>
      <c r="AU133" s="174"/>
    </row>
    <row r="134" spans="40:47" x14ac:dyDescent="0.2">
      <c r="AN134" s="171"/>
      <c r="AO134" s="172"/>
      <c r="AP134" s="168"/>
      <c r="AQ134" s="168"/>
      <c r="AR134" s="168"/>
      <c r="AS134" s="173"/>
      <c r="AT134" s="168"/>
      <c r="AU134" s="174"/>
    </row>
    <row r="135" spans="40:47" x14ac:dyDescent="0.2">
      <c r="AN135" s="171"/>
      <c r="AO135" s="172"/>
      <c r="AP135" s="168"/>
      <c r="AQ135" s="168"/>
      <c r="AR135" s="168"/>
      <c r="AS135" s="173"/>
      <c r="AT135" s="168"/>
      <c r="AU135" s="174"/>
    </row>
    <row r="136" spans="40:47" x14ac:dyDescent="0.2">
      <c r="AN136" s="1"/>
      <c r="AO136" s="1"/>
      <c r="AP136" s="1"/>
      <c r="AQ136" s="1"/>
      <c r="AR136" s="1"/>
      <c r="AS136" s="1"/>
      <c r="AT136" s="1"/>
      <c r="AU136" s="1"/>
    </row>
  </sheetData>
  <phoneticPr fontId="0" type="noConversion"/>
  <pageMargins left="0.75" right="0.75" top="1" bottom="1" header="0.5" footer="0.5"/>
  <pageSetup paperSize="9" orientation="portrait" horizontalDpi="300" verticalDpi="300"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A8F578347247D43ABB0E96790AE3DD8" ma:contentTypeVersion="11" ma:contentTypeDescription="Create a new document." ma:contentTypeScope="" ma:versionID="70258418d3c8fcf52658d05d1ca378ef">
  <xsd:schema xmlns:xsd="http://www.w3.org/2001/XMLSchema" xmlns:xs="http://www.w3.org/2001/XMLSchema" xmlns:p="http://schemas.microsoft.com/office/2006/metadata/properties" xmlns:ns3="f75e41bf-1bc8-4cee-ab1d-8bab58b66c34" xmlns:ns4="d6809223-5555-4751-9408-f2a2604321e5" targetNamespace="http://schemas.microsoft.com/office/2006/metadata/properties" ma:root="true" ma:fieldsID="8c9c2da6b5e39dcec93dc3d0478c8988" ns3:_="" ns4:_="">
    <xsd:import namespace="f75e41bf-1bc8-4cee-ab1d-8bab58b66c34"/>
    <xsd:import namespace="d6809223-5555-4751-9408-f2a2604321e5"/>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Location"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75e41bf-1bc8-4cee-ab1d-8bab58b66c34"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6809223-5555-4751-9408-f2a2604321e5"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AutoTags" ma:index="14" nillable="true" ma:displayName="MediaServiceAutoTags" ma:description=""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8C4B6E9-A80D-45AB-9130-6119E59AEBCF}">
  <ds:schemaRefs>
    <ds:schemaRef ds:uri="f75e41bf-1bc8-4cee-ab1d-8bab58b66c34"/>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d6809223-5555-4751-9408-f2a2604321e5"/>
    <ds:schemaRef ds:uri="http://www.w3.org/XML/1998/namespace"/>
    <ds:schemaRef ds:uri="http://purl.org/dc/dcmitype/"/>
  </ds:schemaRefs>
</ds:datastoreItem>
</file>

<file path=customXml/itemProps2.xml><?xml version="1.0" encoding="utf-8"?>
<ds:datastoreItem xmlns:ds="http://schemas.openxmlformats.org/officeDocument/2006/customXml" ds:itemID="{1DC0598E-1B07-4072-9F5D-0EC8B434E29D}">
  <ds:schemaRefs>
    <ds:schemaRef ds:uri="http://schemas.microsoft.com/sharepoint/v3/contenttype/forms"/>
  </ds:schemaRefs>
</ds:datastoreItem>
</file>

<file path=customXml/itemProps3.xml><?xml version="1.0" encoding="utf-8"?>
<ds:datastoreItem xmlns:ds="http://schemas.openxmlformats.org/officeDocument/2006/customXml" ds:itemID="{5D21603B-C362-43C0-9A65-9CCBF17ABB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75e41bf-1bc8-4cee-ab1d-8bab58b66c34"/>
    <ds:schemaRef ds:uri="d6809223-5555-4751-9408-f2a2604321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11</vt:i4>
      </vt:variant>
    </vt:vector>
  </HeadingPairs>
  <TitlesOfParts>
    <vt:vector size="14" baseType="lpstr">
      <vt:lpstr>Guide</vt:lpstr>
      <vt:lpstr>SWeRF</vt:lpstr>
      <vt:lpstr>Calculations</vt:lpstr>
      <vt:lpstr>h</vt:lpstr>
      <vt:lpstr>HH</vt:lpstr>
      <vt:lpstr>M</vt:lpstr>
      <vt:lpstr>n</vt:lpstr>
      <vt:lpstr>Guide!Print_Area</vt:lpstr>
      <vt:lpstr>SWeRF!Print_Area</vt:lpstr>
      <vt:lpstr>rcs</vt:lpstr>
      <vt:lpstr>rm</vt:lpstr>
      <vt:lpstr>rs</vt:lpstr>
      <vt:lpstr>S</vt:lpstr>
      <vt:lpstr>T</vt:lpstr>
    </vt:vector>
  </TitlesOfParts>
  <Company>Sibelco Europe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Calculation of the SWeRF</dc:title>
  <dc:subject>Calculated  SWeRF</dc:subject>
  <dc:creator>C.Mol</dc:creator>
  <cp:lastModifiedBy>Cas Mol</cp:lastModifiedBy>
  <cp:lastPrinted>2015-04-17T14:22:33Z</cp:lastPrinted>
  <dcterms:created xsi:type="dcterms:W3CDTF">1999-05-05T07:12:08Z</dcterms:created>
  <dcterms:modified xsi:type="dcterms:W3CDTF">2020-11-02T09:20:07Z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0x0101008A8F578347247D43ABB0E96790AE3DD8</vt:lpwstr>
  </property>
</Properties>
</file>